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1"/>
  </bookViews>
  <sheets>
    <sheet name="New Format" sheetId="2" r:id="rId1"/>
    <sheet name="Normal MSC FOR FILLING" sheetId="3" r:id="rId2"/>
  </sheets>
  <calcPr calcId="125725"/>
</workbook>
</file>

<file path=xl/calcChain.xml><?xml version="1.0" encoding="utf-8"?>
<calcChain xmlns="http://schemas.openxmlformats.org/spreadsheetml/2006/main">
  <c r="G90" i="3"/>
  <c r="G21" i="2" s="1"/>
  <c r="D31"/>
  <c r="D30"/>
  <c r="D29"/>
  <c r="D28"/>
  <c r="D27"/>
  <c r="E12"/>
  <c r="H12" s="1"/>
  <c r="E11"/>
  <c r="E10"/>
  <c r="H10" s="1"/>
  <c r="D8"/>
  <c r="G106" i="3"/>
  <c r="G104"/>
  <c r="G103"/>
  <c r="G102"/>
  <c r="G101"/>
  <c r="G100"/>
  <c r="F65"/>
  <c r="F64"/>
  <c r="G65" s="1"/>
  <c r="E50"/>
  <c r="F50" s="1"/>
  <c r="E49"/>
  <c r="F49" s="1"/>
  <c r="E48"/>
  <c r="F48" s="1"/>
  <c r="E47"/>
  <c r="F47" s="1"/>
  <c r="E46"/>
  <c r="F46" s="1"/>
  <c r="F43"/>
  <c r="F42"/>
  <c r="E37"/>
  <c r="F35"/>
  <c r="F34"/>
  <c r="F33"/>
  <c r="F32"/>
  <c r="F30"/>
  <c r="F29"/>
  <c r="F28"/>
  <c r="F27"/>
  <c r="F26"/>
  <c r="E13"/>
  <c r="E14" s="1"/>
  <c r="E15" s="1"/>
  <c r="E8" i="2" s="1"/>
  <c r="H11"/>
  <c r="H9"/>
  <c r="H8" l="1"/>
  <c r="H14" s="1"/>
  <c r="G18"/>
  <c r="G19"/>
  <c r="E55" i="3"/>
  <c r="D55" s="1"/>
  <c r="E60"/>
  <c r="E59"/>
  <c r="F58"/>
  <c r="E57"/>
  <c r="E56"/>
  <c r="E54"/>
  <c r="F54" s="1"/>
  <c r="E53"/>
  <c r="F53" s="1"/>
  <c r="E45"/>
  <c r="F45" s="1"/>
  <c r="E44"/>
  <c r="F44" s="1"/>
  <c r="F15"/>
  <c r="G17" s="1"/>
  <c r="G37"/>
  <c r="G32" i="2" l="1"/>
  <c r="F32" s="1"/>
  <c r="G30"/>
  <c r="F30" s="1"/>
  <c r="G24"/>
  <c r="F21"/>
  <c r="F18"/>
  <c r="F19"/>
  <c r="F57" i="3"/>
  <c r="E27" i="2"/>
  <c r="F59" i="3"/>
  <c r="E31" i="2"/>
  <c r="E30"/>
  <c r="F56" i="3"/>
  <c r="E28" i="2"/>
  <c r="G28" s="1"/>
  <c r="F28" s="1"/>
  <c r="F60" i="3"/>
  <c r="E29" i="2"/>
  <c r="G29" s="1"/>
  <c r="F29" s="1"/>
  <c r="G86" i="3"/>
  <c r="F80"/>
  <c r="G80" s="1"/>
  <c r="G22" i="2" s="1"/>
  <c r="G75" i="3"/>
  <c r="G20" i="2" s="1"/>
  <c r="F67" i="3"/>
  <c r="G31" i="2" l="1"/>
  <c r="F31" s="1"/>
  <c r="G27"/>
  <c r="F27" s="1"/>
  <c r="G62" i="3"/>
  <c r="F20" i="2"/>
  <c r="F22"/>
  <c r="G67" i="3"/>
  <c r="F75"/>
  <c r="F73"/>
  <c r="F71"/>
  <c r="F74"/>
  <c r="F72"/>
  <c r="F85"/>
  <c r="F86"/>
  <c r="F91" l="1"/>
  <c r="H35" i="2"/>
  <c r="H37" s="1"/>
  <c r="G91" i="3"/>
  <c r="J39" i="2" l="1"/>
  <c r="J40" s="1"/>
  <c r="G43"/>
  <c r="F43" s="1"/>
  <c r="G42"/>
  <c r="F42" s="1"/>
  <c r="G41"/>
  <c r="H67" i="3"/>
  <c r="I94"/>
  <c r="H90"/>
  <c r="H65"/>
  <c r="H37"/>
  <c r="H62"/>
  <c r="H75"/>
  <c r="H86"/>
  <c r="H80"/>
  <c r="H43" i="2" l="1"/>
  <c r="H45" s="1"/>
  <c r="F41"/>
  <c r="H49"/>
</calcChain>
</file>

<file path=xl/comments1.xml><?xml version="1.0" encoding="utf-8"?>
<comments xmlns="http://schemas.openxmlformats.org/spreadsheetml/2006/main">
  <authors>
    <author>Author</author>
  </authors>
  <commentList>
    <comment ref="E42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Pl enter no. of Credit</t>
        </r>
      </text>
    </comment>
    <comment ref="E4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Pl.enter No of Credit</t>
        </r>
      </text>
    </comment>
  </commentList>
</comments>
</file>

<file path=xl/sharedStrings.xml><?xml version="1.0" encoding="utf-8"?>
<sst xmlns="http://schemas.openxmlformats.org/spreadsheetml/2006/main" count="160" uniqueCount="146">
  <si>
    <t>1.Course/Consultancy Fee</t>
  </si>
  <si>
    <t>2.Research Grant</t>
  </si>
  <si>
    <t>3.Registration fee</t>
  </si>
  <si>
    <t>4.Library Fee</t>
  </si>
  <si>
    <t>Total Income=Direct Cost +Indirect Cost</t>
  </si>
  <si>
    <t>% to be allocated</t>
  </si>
  <si>
    <t>Rs.</t>
  </si>
  <si>
    <t>A Total Income</t>
  </si>
  <si>
    <t>5.1.1 Payment to Outside Consultants/Team Members,Contract Staff</t>
  </si>
  <si>
    <t>5.1.2 Field Expenses,Academic Activities,Serveys,Testing ,etc.</t>
  </si>
  <si>
    <t>5.1.3 Conduct meeting,Hire lecture halls,Refreshment,Etc</t>
  </si>
  <si>
    <t>5.1.4 Travelling,Subsistence,Meterials,Equipment Usage etc.</t>
  </si>
  <si>
    <t>5.1.5 University/HEI/Course/Infrastructure Development/etc..Vote</t>
  </si>
  <si>
    <t>5.1.6 Government Taxes</t>
  </si>
  <si>
    <t>5.1.7 UGC-0.01% of Income</t>
  </si>
  <si>
    <t>5.1.8 Other</t>
  </si>
  <si>
    <t>C.Indirect Cost</t>
  </si>
  <si>
    <t>5.2.1 University/HEI Development Vote</t>
  </si>
  <si>
    <t>5.2.2 VC"s Vote</t>
  </si>
  <si>
    <t>5.23 Payment to Directly and Indirectly involved staff Members</t>
  </si>
  <si>
    <t>Total Cost=Direct Cost+Indirect Cost</t>
  </si>
  <si>
    <t>D.Excess of Total Income over Total Costs/Expenditure</t>
  </si>
  <si>
    <t>5.3 Total Allocation to Development Votes(5.1.5,5.2.1,5.2.2)/Total Income</t>
  </si>
  <si>
    <t>Unit</t>
  </si>
  <si>
    <t>Fees</t>
  </si>
  <si>
    <t>5.Medical Fee</t>
  </si>
  <si>
    <t>B Direct Cost</t>
  </si>
  <si>
    <r>
      <t xml:space="preserve">University/HEI,S : </t>
    </r>
    <r>
      <rPr>
        <b/>
        <sz val="11"/>
        <color theme="1"/>
        <rFont val="Calibri"/>
        <family val="2"/>
        <scheme val="minor"/>
      </rPr>
      <t>Postgraduate Institute of Science</t>
    </r>
  </si>
  <si>
    <r>
      <t xml:space="preserve">Programme          : </t>
    </r>
    <r>
      <rPr>
        <b/>
        <sz val="11"/>
        <color theme="1"/>
        <rFont val="Calibri"/>
        <family val="2"/>
        <scheme val="minor"/>
      </rPr>
      <t>M.Sc In ………………………………………</t>
    </r>
  </si>
  <si>
    <t>Note</t>
  </si>
  <si>
    <t>Postgraduate Institute of Science</t>
  </si>
  <si>
    <t>Code</t>
  </si>
  <si>
    <t>Bugdet Line</t>
  </si>
  <si>
    <t>Rate(Rs.)</t>
  </si>
  <si>
    <t>Units</t>
  </si>
  <si>
    <t>Amount</t>
  </si>
  <si>
    <t>As%</t>
  </si>
  <si>
    <t>No</t>
  </si>
  <si>
    <t>In Rs.</t>
  </si>
  <si>
    <t>TE</t>
  </si>
  <si>
    <t>A</t>
  </si>
  <si>
    <t>Income</t>
  </si>
  <si>
    <t>Number of Candidates Applied</t>
  </si>
  <si>
    <t>Number of Candidates  Selected</t>
  </si>
  <si>
    <t>Number of Students Enrolled</t>
  </si>
  <si>
    <t>Assuming 20% Dropout of Students</t>
  </si>
  <si>
    <t>Course Fee  (After Dropout Calculation)</t>
  </si>
  <si>
    <t>B</t>
  </si>
  <si>
    <t>Expenditure</t>
  </si>
  <si>
    <t>Initial Expenditure-Advertising Cost etc:</t>
  </si>
  <si>
    <t>Selection-Apptitude Test,interviewers,OT  etc:</t>
  </si>
  <si>
    <t>Inauguration</t>
  </si>
  <si>
    <t>Teaching-</t>
  </si>
  <si>
    <t>Lecturers</t>
  </si>
  <si>
    <t>Practicals-  Lecturers</t>
  </si>
  <si>
    <t xml:space="preserve">                  Demonstrators (Tw0 per class)</t>
  </si>
  <si>
    <t xml:space="preserve">                  Technical Officers</t>
  </si>
  <si>
    <t xml:space="preserve">                   Lab Attendants</t>
  </si>
  <si>
    <t>Field Visit - Lecturers</t>
  </si>
  <si>
    <t xml:space="preserve">                  Demonstrators</t>
  </si>
  <si>
    <t>Travelling - Lecturers,Field Visits ,etc.</t>
  </si>
  <si>
    <t>Examination</t>
  </si>
  <si>
    <t xml:space="preserve"> -Theory and Practicals</t>
  </si>
  <si>
    <t xml:space="preserve">      Paper Settings -Theory </t>
  </si>
  <si>
    <t xml:space="preserve">      Paper Settings - Practicals</t>
  </si>
  <si>
    <t xml:space="preserve">      Paper Marking - Theory</t>
  </si>
  <si>
    <t xml:space="preserve">      Paper Marking - Practicals</t>
  </si>
  <si>
    <t xml:space="preserve">      Paper Typing - Theory</t>
  </si>
  <si>
    <t xml:space="preserve">      Supervision -Theory</t>
  </si>
  <si>
    <t xml:space="preserve">      Supervision - Practicals</t>
  </si>
  <si>
    <t xml:space="preserve">      Invigiliation - Theory</t>
  </si>
  <si>
    <t xml:space="preserve">      Invigiliation - Practicals</t>
  </si>
  <si>
    <t xml:space="preserve">       Project Proposal Seminar</t>
  </si>
  <si>
    <t xml:space="preserve">       Mid-Term Review Seminars-RS.1500 per Students</t>
  </si>
  <si>
    <t xml:space="preserve">       Mid-Term Review Seminars-Travelling</t>
  </si>
  <si>
    <t xml:space="preserve">       Project Report Evaluation-Rs.1,500 Per Students</t>
  </si>
  <si>
    <t xml:space="preserve">       Research Project Expenses-(Covering the Cost of </t>
  </si>
  <si>
    <t xml:space="preserve">       Chemical,Testing,Field Visits,Laboratary Test etc:)</t>
  </si>
  <si>
    <t xml:space="preserve">       Final Oral Examination       - Rs.5,000 per Students</t>
  </si>
  <si>
    <t xml:space="preserve">       Other Expenses (Travelling for examiners,etc )</t>
  </si>
  <si>
    <t xml:space="preserve">    </t>
  </si>
  <si>
    <t>Course Management - Co-ordinating  Fee</t>
  </si>
  <si>
    <t xml:space="preserve">                                     Communication Fee</t>
  </si>
  <si>
    <t>Staff Emoluments                    5% of the Total Income</t>
  </si>
  <si>
    <t>Supplies Overheads and</t>
  </si>
  <si>
    <t>Utility Charges                           5% of the total Income</t>
  </si>
  <si>
    <t>Stationery</t>
  </si>
  <si>
    <t>Communication</t>
  </si>
  <si>
    <t>Electricity &amp; Water</t>
  </si>
  <si>
    <t>Other Services</t>
  </si>
  <si>
    <t>Hall Charges</t>
  </si>
  <si>
    <t>Rehabilitation,Maintenance &amp;</t>
  </si>
  <si>
    <t>*</t>
  </si>
  <si>
    <t xml:space="preserve">Development Fund                 </t>
  </si>
  <si>
    <r>
      <t xml:space="preserve">(a) Rehabilitation &amp; Maintenece     </t>
    </r>
    <r>
      <rPr>
        <b/>
        <sz val="10"/>
        <rFont val="Arial"/>
        <family val="2"/>
      </rPr>
      <t xml:space="preserve">   % of the Total Income</t>
    </r>
  </si>
  <si>
    <t>Expenditure (Note 1)</t>
  </si>
  <si>
    <r>
      <t xml:space="preserve">(b) Development Expenditure          </t>
    </r>
    <r>
      <rPr>
        <b/>
        <sz val="10"/>
        <rFont val="Arial"/>
        <family val="2"/>
      </rPr>
      <t xml:space="preserve"> % of the Total Income</t>
    </r>
  </si>
  <si>
    <t>(1) Infrastructure</t>
  </si>
  <si>
    <t>(2) Equipment</t>
  </si>
  <si>
    <t xml:space="preserve"> (Note 2)</t>
  </si>
  <si>
    <r>
      <t>Contingencies-</t>
    </r>
    <r>
      <rPr>
        <sz val="11"/>
        <color theme="1"/>
        <rFont val="Calibri"/>
        <family val="2"/>
        <scheme val="minor"/>
      </rPr>
      <t>Chemical &amp; Glassware</t>
    </r>
  </si>
  <si>
    <r>
      <t xml:space="preserve">                        </t>
    </r>
    <r>
      <rPr>
        <sz val="11"/>
        <color theme="1"/>
        <rFont val="Calibri"/>
        <family val="2"/>
        <scheme val="minor"/>
      </rPr>
      <t>Mechanical Electrical Goods</t>
    </r>
  </si>
  <si>
    <r>
      <t xml:space="preserve">                      </t>
    </r>
    <r>
      <rPr>
        <sz val="11"/>
        <color theme="1"/>
        <rFont val="Calibri"/>
        <family val="2"/>
        <scheme val="minor"/>
      </rPr>
      <t xml:space="preserve">  Other Expenses</t>
    </r>
  </si>
  <si>
    <t>Total Expenditure</t>
  </si>
  <si>
    <t xml:space="preserve"> *9</t>
  </si>
  <si>
    <t>Rehabilitation,Maintenance &amp; Development Fund</t>
  </si>
  <si>
    <t>Choice (V)</t>
  </si>
  <si>
    <t xml:space="preserve">Visiting </t>
  </si>
  <si>
    <t>Contribution to PGIS</t>
  </si>
  <si>
    <t>Lecturer</t>
  </si>
  <si>
    <t>Total</t>
  </si>
  <si>
    <t>Fee</t>
  </si>
  <si>
    <t>9 (a)</t>
  </si>
  <si>
    <t>9(b)</t>
  </si>
  <si>
    <t>Contribution</t>
  </si>
  <si>
    <t>Per hour</t>
  </si>
  <si>
    <t xml:space="preserve">        √</t>
  </si>
  <si>
    <t>3000&lt;</t>
  </si>
  <si>
    <t>Note 01:</t>
  </si>
  <si>
    <t>Minimum 5% of the Gross Income should be allocated in (9a)</t>
  </si>
  <si>
    <t>Note 02:</t>
  </si>
  <si>
    <t>Minimum 10% of the Gross Income should be allocated in (9b)</t>
  </si>
  <si>
    <t>……………………………………………………………………</t>
  </si>
  <si>
    <t>…………………………..</t>
  </si>
  <si>
    <t>Chairman</t>
  </si>
  <si>
    <t>Programme Coordinator</t>
  </si>
  <si>
    <t>Board of Study In ………….</t>
  </si>
  <si>
    <t>……………………………………………………………….</t>
  </si>
  <si>
    <t>Director/PGIS</t>
  </si>
  <si>
    <t xml:space="preserve">    Oral Examination</t>
  </si>
  <si>
    <t xml:space="preserve">    Exam Fee ( Setting,Marking,Supervision,Invigiliation,Typing ete.)</t>
  </si>
  <si>
    <t xml:space="preserve">    Thesis or project  Supervision</t>
  </si>
  <si>
    <t xml:space="preserve">    Thesis or Project Evaluation</t>
  </si>
  <si>
    <t xml:space="preserve">   Chemical,Testing,Field Visits,Laboratary Test etc:)</t>
  </si>
  <si>
    <t xml:space="preserve">    Examination expense-Other</t>
  </si>
  <si>
    <t>Total Direct Cost</t>
  </si>
  <si>
    <t>Indirect Cost=Total Incom-Direct Cost</t>
  </si>
  <si>
    <t>Prof.H.M.T.G.A.Pitawala</t>
  </si>
  <si>
    <t xml:space="preserve">       Project Supervision fee - Rs.5,000 per Students</t>
  </si>
  <si>
    <t>Please don't fill this format, automaticaly link from old format (other work Sheet)</t>
  </si>
  <si>
    <t>Year:</t>
  </si>
  <si>
    <t>Please  fill this format , New format  will Automatically  linked</t>
  </si>
  <si>
    <t>Estimated Budget</t>
  </si>
  <si>
    <t>M.Sc. Degree Programme (1.5 years):</t>
  </si>
  <si>
    <t>Pl. Fill the Colour Cells only</t>
  </si>
  <si>
    <t>Research Project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</si>
</sst>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b/>
      <u/>
      <sz val="13"/>
      <name val="Arial"/>
      <family val="2"/>
    </font>
    <font>
      <b/>
      <sz val="13"/>
      <color indexed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5"/>
      <color rgb="FFFF0000"/>
      <name val="Calibri"/>
      <family val="2"/>
      <scheme val="minor"/>
    </font>
    <font>
      <sz val="15"/>
      <color rgb="FFFF0000"/>
      <name val="Arial"/>
      <family val="2"/>
    </font>
    <font>
      <sz val="15"/>
      <color rgb="FFFF0000"/>
      <name val="Calibri"/>
      <family val="2"/>
      <scheme val="minor"/>
    </font>
    <font>
      <b/>
      <u/>
      <sz val="15"/>
      <name val="Times New Roman"/>
      <family val="1"/>
    </font>
    <font>
      <b/>
      <i/>
      <sz val="15"/>
      <name val="Times New Roman"/>
      <family val="1"/>
    </font>
    <font>
      <b/>
      <i/>
      <sz val="14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1">
    <xf numFmtId="0" fontId="0" fillId="0" borderId="0" xfId="0"/>
    <xf numFmtId="164" fontId="0" fillId="0" borderId="0" xfId="0" applyNumberFormat="1"/>
    <xf numFmtId="0" fontId="2" fillId="0" borderId="2" xfId="0" applyFont="1" applyBorder="1"/>
    <xf numFmtId="0" fontId="0" fillId="0" borderId="3" xfId="0" applyBorder="1"/>
    <xf numFmtId="0" fontId="0" fillId="0" borderId="2" xfId="0" applyBorder="1"/>
    <xf numFmtId="164" fontId="2" fillId="0" borderId="3" xfId="1" applyNumberFormat="1" applyFont="1" applyBorder="1"/>
    <xf numFmtId="9" fontId="2" fillId="0" borderId="3" xfId="2" applyFont="1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2" fillId="0" borderId="9" xfId="0" applyFont="1" applyBorder="1"/>
    <xf numFmtId="164" fontId="0" fillId="0" borderId="9" xfId="1" applyNumberFormat="1" applyFont="1" applyBorder="1"/>
    <xf numFmtId="0" fontId="3" fillId="0" borderId="7" xfId="0" applyFont="1" applyBorder="1"/>
    <xf numFmtId="0" fontId="4" fillId="0" borderId="1" xfId="0" applyFont="1" applyBorder="1"/>
    <xf numFmtId="0" fontId="4" fillId="0" borderId="8" xfId="0" applyFont="1" applyBorder="1"/>
    <xf numFmtId="164" fontId="0" fillId="0" borderId="3" xfId="1" applyNumberFormat="1" applyFont="1" applyBorder="1"/>
    <xf numFmtId="164" fontId="0" fillId="0" borderId="10" xfId="1" applyNumberFormat="1" applyFont="1" applyBorder="1"/>
    <xf numFmtId="164" fontId="2" fillId="0" borderId="11" xfId="1" applyNumberFormat="1" applyFont="1" applyBorder="1"/>
    <xf numFmtId="0" fontId="4" fillId="0" borderId="7" xfId="0" applyFont="1" applyBorder="1"/>
    <xf numFmtId="0" fontId="5" fillId="0" borderId="0" xfId="0" applyFont="1" applyFill="1"/>
    <xf numFmtId="0" fontId="5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9" fillId="0" borderId="12" xfId="0" applyFont="1" applyFill="1" applyBorder="1"/>
    <xf numFmtId="0" fontId="9" fillId="0" borderId="9" xfId="0" applyFont="1" applyFill="1" applyBorder="1"/>
    <xf numFmtId="0" fontId="5" fillId="0" borderId="12" xfId="0" applyFont="1" applyFill="1" applyBorder="1"/>
    <xf numFmtId="0" fontId="5" fillId="0" borderId="13" xfId="0" applyFont="1" applyFill="1" applyBorder="1"/>
    <xf numFmtId="0" fontId="5" fillId="0" borderId="12" xfId="0" applyFont="1" applyBorder="1"/>
    <xf numFmtId="164" fontId="5" fillId="0" borderId="12" xfId="1" applyNumberFormat="1" applyFont="1" applyBorder="1"/>
    <xf numFmtId="0" fontId="5" fillId="0" borderId="9" xfId="0" applyFont="1" applyFill="1" applyBorder="1"/>
    <xf numFmtId="0" fontId="9" fillId="0" borderId="0" xfId="0" applyFont="1" applyFill="1" applyBorder="1"/>
    <xf numFmtId="0" fontId="5" fillId="0" borderId="9" xfId="0" applyFont="1" applyBorder="1"/>
    <xf numFmtId="164" fontId="5" fillId="0" borderId="9" xfId="1" applyNumberFormat="1" applyFont="1" applyBorder="1"/>
    <xf numFmtId="164" fontId="5" fillId="2" borderId="9" xfId="1" applyNumberFormat="1" applyFont="1" applyFill="1" applyBorder="1"/>
    <xf numFmtId="43" fontId="5" fillId="0" borderId="9" xfId="1" applyFont="1" applyFill="1" applyBorder="1"/>
    <xf numFmtId="0" fontId="5" fillId="0" borderId="14" xfId="0" applyFont="1" applyFill="1" applyBorder="1"/>
    <xf numFmtId="0" fontId="9" fillId="0" borderId="15" xfId="0" applyFont="1" applyFill="1" applyBorder="1"/>
    <xf numFmtId="43" fontId="5" fillId="0" borderId="14" xfId="1" applyFont="1" applyBorder="1"/>
    <xf numFmtId="164" fontId="5" fillId="0" borderId="14" xfId="1" applyNumberFormat="1" applyFont="1" applyBorder="1"/>
    <xf numFmtId="164" fontId="9" fillId="0" borderId="14" xfId="1" applyNumberFormat="1" applyFont="1" applyBorder="1"/>
    <xf numFmtId="0" fontId="5" fillId="0" borderId="14" xfId="0" applyFont="1" applyBorder="1"/>
    <xf numFmtId="0" fontId="5" fillId="0" borderId="16" xfId="0" applyFont="1" applyFill="1" applyBorder="1"/>
    <xf numFmtId="0" fontId="9" fillId="0" borderId="17" xfId="0" applyFont="1" applyFill="1" applyBorder="1"/>
    <xf numFmtId="164" fontId="5" fillId="0" borderId="16" xfId="1" applyNumberFormat="1" applyFont="1" applyBorder="1"/>
    <xf numFmtId="164" fontId="9" fillId="0" borderId="16" xfId="1" applyNumberFormat="1" applyFont="1" applyBorder="1"/>
    <xf numFmtId="0" fontId="5" fillId="0" borderId="16" xfId="0" applyFont="1" applyBorder="1"/>
    <xf numFmtId="164" fontId="5" fillId="0" borderId="14" xfId="1" applyNumberFormat="1" applyFont="1" applyFill="1" applyBorder="1"/>
    <xf numFmtId="164" fontId="5" fillId="0" borderId="14" xfId="1" applyNumberFormat="1" applyFont="1" applyFill="1" applyBorder="1" applyAlignment="1">
      <alignment horizontal="center"/>
    </xf>
    <xf numFmtId="164" fontId="9" fillId="0" borderId="14" xfId="1" applyNumberFormat="1" applyFont="1" applyFill="1" applyBorder="1"/>
    <xf numFmtId="10" fontId="5" fillId="0" borderId="14" xfId="2" applyNumberFormat="1" applyFont="1" applyFill="1" applyBorder="1"/>
    <xf numFmtId="164" fontId="5" fillId="0" borderId="16" xfId="1" applyNumberFormat="1" applyFont="1" applyFill="1" applyBorder="1"/>
    <xf numFmtId="164" fontId="9" fillId="0" borderId="16" xfId="1" applyNumberFormat="1" applyFont="1" applyFill="1" applyBorder="1"/>
    <xf numFmtId="164" fontId="5" fillId="0" borderId="9" xfId="1" applyNumberFormat="1" applyFont="1" applyFill="1" applyBorder="1"/>
    <xf numFmtId="164" fontId="9" fillId="0" borderId="9" xfId="1" applyNumberFormat="1" applyFont="1" applyFill="1" applyBorder="1"/>
    <xf numFmtId="10" fontId="5" fillId="0" borderId="9" xfId="2" applyNumberFormat="1" applyFont="1" applyFill="1" applyBorder="1"/>
    <xf numFmtId="164" fontId="9" fillId="0" borderId="9" xfId="1" applyNumberFormat="1" applyFont="1" applyBorder="1"/>
    <xf numFmtId="9" fontId="9" fillId="0" borderId="9" xfId="2" applyNumberFormat="1" applyFont="1" applyFill="1" applyBorder="1"/>
    <xf numFmtId="0" fontId="5" fillId="0" borderId="0" xfId="0" applyFont="1" applyFill="1" applyBorder="1"/>
    <xf numFmtId="0" fontId="9" fillId="0" borderId="16" xfId="0" applyFont="1" applyFill="1" applyBorder="1"/>
    <xf numFmtId="10" fontId="9" fillId="0" borderId="9" xfId="2" applyNumberFormat="1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left"/>
    </xf>
    <xf numFmtId="164" fontId="5" fillId="3" borderId="9" xfId="1" applyNumberFormat="1" applyFont="1" applyFill="1" applyBorder="1"/>
    <xf numFmtId="0" fontId="9" fillId="0" borderId="0" xfId="0" applyFont="1" applyFill="1" applyBorder="1" applyAlignment="1">
      <alignment horizontal="left"/>
    </xf>
    <xf numFmtId="0" fontId="5" fillId="0" borderId="10" xfId="0" applyFont="1" applyFill="1" applyBorder="1"/>
    <xf numFmtId="0" fontId="5" fillId="0" borderId="18" xfId="0" applyFont="1" applyFill="1" applyBorder="1"/>
    <xf numFmtId="164" fontId="5" fillId="0" borderId="10" xfId="1" applyNumberFormat="1" applyFont="1" applyFill="1" applyBorder="1"/>
    <xf numFmtId="164" fontId="9" fillId="0" borderId="10" xfId="1" applyNumberFormat="1" applyFont="1" applyFill="1" applyBorder="1"/>
    <xf numFmtId="9" fontId="9" fillId="0" borderId="10" xfId="2" applyFont="1" applyFill="1" applyBorder="1"/>
    <xf numFmtId="0" fontId="5" fillId="0" borderId="1" xfId="0" applyFont="1" applyFill="1" applyBorder="1"/>
    <xf numFmtId="0" fontId="9" fillId="0" borderId="19" xfId="0" applyFont="1" applyFill="1" applyBorder="1"/>
    <xf numFmtId="164" fontId="5" fillId="0" borderId="1" xfId="1" applyNumberFormat="1" applyFont="1" applyFill="1" applyBorder="1"/>
    <xf numFmtId="164" fontId="9" fillId="0" borderId="1" xfId="1" applyNumberFormat="1" applyFont="1" applyFill="1" applyBorder="1"/>
    <xf numFmtId="0" fontId="9" fillId="0" borderId="1" xfId="0" applyFont="1" applyFill="1" applyBorder="1"/>
    <xf numFmtId="0" fontId="5" fillId="0" borderId="20" xfId="0" applyFont="1" applyFill="1" applyBorder="1"/>
    <xf numFmtId="0" fontId="9" fillId="0" borderId="21" xfId="0" applyFont="1" applyFill="1" applyBorder="1"/>
    <xf numFmtId="164" fontId="5" fillId="0" borderId="20" xfId="1" applyNumberFormat="1" applyFont="1" applyFill="1" applyBorder="1"/>
    <xf numFmtId="164" fontId="9" fillId="0" borderId="20" xfId="1" applyNumberFormat="1" applyFont="1" applyFill="1" applyBorder="1"/>
    <xf numFmtId="9" fontId="9" fillId="0" borderId="20" xfId="2" applyFont="1" applyFill="1" applyBorder="1"/>
    <xf numFmtId="9" fontId="9" fillId="0" borderId="9" xfId="2" applyFont="1" applyFill="1" applyBorder="1"/>
    <xf numFmtId="0" fontId="8" fillId="0" borderId="0" xfId="0" applyFont="1" applyFill="1" applyBorder="1"/>
    <xf numFmtId="0" fontId="5" fillId="0" borderId="15" xfId="0" applyFont="1" applyFill="1" applyBorder="1"/>
    <xf numFmtId="0" fontId="9" fillId="0" borderId="14" xfId="0" applyFont="1" applyFill="1" applyBorder="1"/>
    <xf numFmtId="0" fontId="5" fillId="0" borderId="9" xfId="0" applyFont="1" applyFill="1" applyBorder="1" applyAlignment="1">
      <alignment horizontal="center"/>
    </xf>
    <xf numFmtId="0" fontId="8" fillId="0" borderId="15" xfId="0" applyFont="1" applyFill="1" applyBorder="1"/>
    <xf numFmtId="164" fontId="5" fillId="2" borderId="16" xfId="1" applyNumberFormat="1" applyFont="1" applyFill="1" applyBorder="1"/>
    <xf numFmtId="10" fontId="9" fillId="0" borderId="16" xfId="2" applyNumberFormat="1" applyFont="1" applyFill="1" applyBorder="1"/>
    <xf numFmtId="165" fontId="9" fillId="0" borderId="9" xfId="2" applyNumberFormat="1" applyFont="1" applyFill="1" applyBorder="1"/>
    <xf numFmtId="0" fontId="11" fillId="0" borderId="17" xfId="0" applyFont="1" applyFill="1" applyBorder="1"/>
    <xf numFmtId="164" fontId="5" fillId="0" borderId="0" xfId="1" applyNumberFormat="1" applyFont="1" applyFill="1" applyBorder="1"/>
    <xf numFmtId="0" fontId="9" fillId="0" borderId="0" xfId="0" applyFont="1" applyFill="1"/>
    <xf numFmtId="0" fontId="9" fillId="0" borderId="22" xfId="0" applyFont="1" applyFill="1" applyBorder="1" applyAlignment="1"/>
    <xf numFmtId="0" fontId="9" fillId="0" borderId="23" xfId="0" applyFont="1" applyFill="1" applyBorder="1" applyAlignment="1"/>
    <xf numFmtId="0" fontId="9" fillId="0" borderId="5" xfId="0" applyFont="1" applyFill="1" applyBorder="1" applyAlignment="1"/>
    <xf numFmtId="0" fontId="9" fillId="0" borderId="6" xfId="0" applyFont="1" applyFill="1" applyBorder="1" applyAlignment="1"/>
    <xf numFmtId="0" fontId="9" fillId="0" borderId="3" xfId="0" applyFont="1" applyFill="1" applyBorder="1"/>
    <xf numFmtId="0" fontId="5" fillId="0" borderId="10" xfId="0" applyFont="1" applyBorder="1"/>
    <xf numFmtId="0" fontId="9" fillId="0" borderId="10" xfId="0" applyFont="1" applyBorder="1"/>
    <xf numFmtId="0" fontId="5" fillId="0" borderId="3" xfId="0" applyFont="1" applyFill="1" applyBorder="1"/>
    <xf numFmtId="0" fontId="0" fillId="0" borderId="0" xfId="0" applyFill="1"/>
    <xf numFmtId="0" fontId="8" fillId="0" borderId="24" xfId="0" applyFont="1" applyFill="1" applyBorder="1" applyAlignment="1">
      <alignment horizontal="center"/>
    </xf>
    <xf numFmtId="9" fontId="5" fillId="0" borderId="24" xfId="0" applyNumberFormat="1" applyFont="1" applyFill="1" applyBorder="1"/>
    <xf numFmtId="0" fontId="8" fillId="0" borderId="0" xfId="0" applyFont="1"/>
    <xf numFmtId="0" fontId="8" fillId="0" borderId="16" xfId="0" applyFont="1" applyFill="1" applyBorder="1"/>
    <xf numFmtId="0" fontId="8" fillId="0" borderId="24" xfId="0" applyFont="1" applyBorder="1" applyAlignment="1">
      <alignment horizontal="center"/>
    </xf>
    <xf numFmtId="9" fontId="8" fillId="0" borderId="24" xfId="2" applyNumberFormat="1" applyFont="1" applyBorder="1"/>
    <xf numFmtId="9" fontId="8" fillId="0" borderId="24" xfId="0" applyNumberFormat="1" applyFont="1" applyBorder="1"/>
    <xf numFmtId="9" fontId="8" fillId="0" borderId="24" xfId="0" applyNumberFormat="1" applyFont="1" applyFill="1" applyBorder="1"/>
    <xf numFmtId="9" fontId="8" fillId="0" borderId="24" xfId="2" applyFont="1" applyBorder="1"/>
    <xf numFmtId="9" fontId="8" fillId="0" borderId="24" xfId="1" applyNumberFormat="1" applyFont="1" applyBorder="1"/>
    <xf numFmtId="9" fontId="8" fillId="0" borderId="24" xfId="2" applyNumberFormat="1" applyFont="1" applyFill="1" applyBorder="1"/>
    <xf numFmtId="0" fontId="5" fillId="0" borderId="24" xfId="0" applyFont="1" applyFill="1" applyBorder="1"/>
    <xf numFmtId="0" fontId="5" fillId="0" borderId="24" xfId="0" applyFont="1" applyBorder="1" applyAlignment="1">
      <alignment horizontal="center"/>
    </xf>
    <xf numFmtId="9" fontId="5" fillId="0" borderId="24" xfId="0" applyNumberFormat="1" applyFont="1" applyBorder="1"/>
    <xf numFmtId="0" fontId="5" fillId="0" borderId="16" xfId="0" applyFont="1" applyBorder="1" applyAlignment="1">
      <alignment horizontal="center"/>
    </xf>
    <xf numFmtId="9" fontId="5" fillId="0" borderId="16" xfId="0" applyNumberFormat="1" applyFont="1" applyBorder="1"/>
    <xf numFmtId="9" fontId="5" fillId="0" borderId="16" xfId="0" applyNumberFormat="1" applyFont="1" applyFill="1" applyBorder="1"/>
    <xf numFmtId="9" fontId="8" fillId="0" borderId="24" xfId="2" applyFont="1" applyFill="1" applyBorder="1"/>
    <xf numFmtId="0" fontId="8" fillId="0" borderId="20" xfId="0" applyFont="1" applyFill="1" applyBorder="1" applyAlignment="1">
      <alignment horizontal="center"/>
    </xf>
    <xf numFmtId="0" fontId="8" fillId="0" borderId="20" xfId="0" applyFont="1" applyBorder="1" applyAlignment="1">
      <alignment horizontal="center"/>
    </xf>
    <xf numFmtId="9" fontId="8" fillId="0" borderId="20" xfId="0" applyNumberFormat="1" applyFont="1" applyBorder="1"/>
    <xf numFmtId="9" fontId="8" fillId="0" borderId="20" xfId="2" applyFont="1" applyFill="1" applyBorder="1"/>
    <xf numFmtId="0" fontId="5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164" fontId="2" fillId="4" borderId="3" xfId="1" applyNumberFormat="1" applyFont="1" applyFill="1" applyBorder="1"/>
    <xf numFmtId="0" fontId="2" fillId="0" borderId="12" xfId="0" applyFont="1" applyBorder="1"/>
    <xf numFmtId="0" fontId="8" fillId="0" borderId="9" xfId="0" applyFont="1" applyFill="1" applyBorder="1"/>
    <xf numFmtId="10" fontId="0" fillId="0" borderId="9" xfId="2" applyNumberFormat="1" applyFont="1" applyBorder="1"/>
    <xf numFmtId="164" fontId="2" fillId="0" borderId="10" xfId="1" applyNumberFormat="1" applyFont="1" applyBorder="1"/>
    <xf numFmtId="164" fontId="0" fillId="5" borderId="9" xfId="1" applyNumberFormat="1" applyFont="1" applyFill="1" applyBorder="1"/>
    <xf numFmtId="0" fontId="0" fillId="5" borderId="9" xfId="0" applyFill="1" applyBorder="1"/>
    <xf numFmtId="10" fontId="0" fillId="5" borderId="9" xfId="2" applyNumberFormat="1" applyFont="1" applyFill="1" applyBorder="1"/>
    <xf numFmtId="43" fontId="0" fillId="0" borderId="0" xfId="1" applyFont="1"/>
    <xf numFmtId="43" fontId="0" fillId="0" borderId="0" xfId="0" applyNumberFormat="1"/>
    <xf numFmtId="164" fontId="2" fillId="0" borderId="4" xfId="1" applyNumberFormat="1" applyFont="1" applyBorder="1"/>
    <xf numFmtId="164" fontId="0" fillId="0" borderId="6" xfId="1" applyNumberFormat="1" applyFont="1" applyBorder="1"/>
    <xf numFmtId="9" fontId="2" fillId="0" borderId="9" xfId="2" applyFont="1" applyBorder="1"/>
    <xf numFmtId="0" fontId="14" fillId="0" borderId="0" xfId="0" applyFont="1" applyFill="1" applyBorder="1"/>
    <xf numFmtId="0" fontId="14" fillId="0" borderId="0" xfId="0" applyFont="1" applyFill="1" applyBorder="1" applyAlignment="1">
      <alignment horizontal="left"/>
    </xf>
    <xf numFmtId="0" fontId="15" fillId="6" borderId="0" xfId="0" applyFont="1" applyFill="1"/>
    <xf numFmtId="0" fontId="0" fillId="6" borderId="0" xfId="0" applyFill="1"/>
    <xf numFmtId="0" fontId="0" fillId="3" borderId="0" xfId="0" applyFill="1"/>
    <xf numFmtId="0" fontId="16" fillId="0" borderId="0" xfId="0" applyFont="1" applyFill="1"/>
    <xf numFmtId="0" fontId="17" fillId="0" borderId="0" xfId="0" applyFont="1" applyFill="1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15" fillId="0" borderId="0" xfId="0" applyFont="1" applyFill="1"/>
    <xf numFmtId="0" fontId="21" fillId="0" borderId="0" xfId="0" applyFont="1" applyFill="1"/>
    <xf numFmtId="0" fontId="21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6"/>
  <sheetViews>
    <sheetView workbookViewId="0">
      <selection activeCell="B4" sqref="B4"/>
    </sheetView>
  </sheetViews>
  <sheetFormatPr defaultRowHeight="15"/>
  <cols>
    <col min="1" max="1" width="0.85546875" customWidth="1"/>
    <col min="2" max="2" width="65" customWidth="1"/>
    <col min="3" max="3" width="5.7109375" customWidth="1"/>
    <col min="5" max="5" width="6.85546875" customWidth="1"/>
    <col min="6" max="6" width="17.7109375" customWidth="1"/>
    <col min="7" max="8" width="10.5703125" bestFit="1" customWidth="1"/>
    <col min="10" max="10" width="13.28515625" bestFit="1" customWidth="1"/>
  </cols>
  <sheetData>
    <row r="1" spans="2:11" ht="19.5">
      <c r="C1" s="143" t="s">
        <v>139</v>
      </c>
      <c r="D1" s="100"/>
      <c r="E1" s="100"/>
      <c r="F1" s="100"/>
      <c r="G1" s="100"/>
      <c r="H1" s="100"/>
      <c r="I1" s="100"/>
      <c r="J1" s="100"/>
      <c r="K1" s="100"/>
    </row>
    <row r="2" spans="2:11">
      <c r="B2" t="s">
        <v>27</v>
      </c>
    </row>
    <row r="3" spans="2:11">
      <c r="B3" t="s">
        <v>28</v>
      </c>
    </row>
    <row r="4" spans="2:11" ht="15.75" thickBot="1"/>
    <row r="5" spans="2:11" ht="20.25" thickBot="1">
      <c r="B5" s="12"/>
      <c r="C5" s="18" t="s">
        <v>29</v>
      </c>
      <c r="D5" s="13" t="s">
        <v>24</v>
      </c>
      <c r="E5" s="13" t="s">
        <v>23</v>
      </c>
      <c r="F5" s="13" t="s">
        <v>5</v>
      </c>
      <c r="G5" s="13" t="s">
        <v>6</v>
      </c>
      <c r="H5" s="14" t="s">
        <v>6</v>
      </c>
    </row>
    <row r="6" spans="2:11">
      <c r="B6" s="126" t="s">
        <v>7</v>
      </c>
      <c r="C6" s="2"/>
      <c r="D6" s="8"/>
      <c r="E6" s="8"/>
      <c r="F6" s="8"/>
      <c r="G6" s="8"/>
      <c r="H6" s="3"/>
    </row>
    <row r="7" spans="2:11">
      <c r="B7" s="8"/>
      <c r="C7" s="4"/>
      <c r="D7" s="8"/>
      <c r="E7" s="8"/>
      <c r="F7" s="8"/>
      <c r="G7" s="8"/>
      <c r="H7" s="3"/>
    </row>
    <row r="8" spans="2:11">
      <c r="B8" s="8" t="s">
        <v>0</v>
      </c>
      <c r="C8" s="4"/>
      <c r="D8" s="130">
        <f>'Normal MSC FOR FILLING'!D15</f>
        <v>160000</v>
      </c>
      <c r="E8" s="131">
        <f>'Normal MSC FOR FILLING'!E15</f>
        <v>32</v>
      </c>
      <c r="F8" s="8"/>
      <c r="G8" s="11"/>
      <c r="H8" s="125">
        <f>D8*E8</f>
        <v>5120000</v>
      </c>
    </row>
    <row r="9" spans="2:11">
      <c r="B9" s="8" t="s">
        <v>1</v>
      </c>
      <c r="C9" s="4"/>
      <c r="D9" s="11"/>
      <c r="E9" s="8"/>
      <c r="F9" s="8"/>
      <c r="G9" s="11"/>
      <c r="H9" s="5">
        <f t="shared" ref="H9:H12" si="0">D9*E9</f>
        <v>0</v>
      </c>
    </row>
    <row r="10" spans="2:11">
      <c r="B10" s="8" t="s">
        <v>2</v>
      </c>
      <c r="C10" s="4"/>
      <c r="D10" s="130"/>
      <c r="E10" s="131">
        <f>'Normal MSC FOR FILLING'!E12</f>
        <v>40</v>
      </c>
      <c r="F10" s="8"/>
      <c r="G10" s="11"/>
      <c r="H10" s="5">
        <f t="shared" si="0"/>
        <v>0</v>
      </c>
    </row>
    <row r="11" spans="2:11">
      <c r="B11" s="8" t="s">
        <v>3</v>
      </c>
      <c r="C11" s="4"/>
      <c r="D11" s="130"/>
      <c r="E11" s="131">
        <f>'Normal MSC FOR FILLING'!E12</f>
        <v>40</v>
      </c>
      <c r="F11" s="8"/>
      <c r="G11" s="11"/>
      <c r="H11" s="5">
        <f t="shared" si="0"/>
        <v>0</v>
      </c>
    </row>
    <row r="12" spans="2:11">
      <c r="B12" s="8" t="s">
        <v>25</v>
      </c>
      <c r="C12" s="4"/>
      <c r="D12" s="130"/>
      <c r="E12" s="131">
        <f>'Normal MSC FOR FILLING'!E12</f>
        <v>40</v>
      </c>
      <c r="F12" s="8"/>
      <c r="G12" s="11"/>
      <c r="H12" s="5">
        <f t="shared" si="0"/>
        <v>0</v>
      </c>
    </row>
    <row r="13" spans="2:11">
      <c r="B13" s="8"/>
      <c r="C13" s="4"/>
      <c r="D13" s="11"/>
      <c r="E13" s="8"/>
      <c r="F13" s="8"/>
      <c r="G13" s="11"/>
      <c r="H13" s="15"/>
    </row>
    <row r="14" spans="2:11" ht="15.75" thickBot="1">
      <c r="B14" s="8" t="s">
        <v>4</v>
      </c>
      <c r="C14" s="4"/>
      <c r="D14" s="8"/>
      <c r="E14" s="8"/>
      <c r="F14" s="8"/>
      <c r="G14" s="11"/>
      <c r="H14" s="135">
        <f>SUM(H8:H13)</f>
        <v>5120000</v>
      </c>
    </row>
    <row r="15" spans="2:11" ht="15.75" thickTop="1">
      <c r="B15" s="8"/>
      <c r="C15" s="4"/>
      <c r="D15" s="8"/>
      <c r="E15" s="8"/>
      <c r="F15" s="8"/>
      <c r="G15" s="11"/>
      <c r="H15" s="15"/>
    </row>
    <row r="16" spans="2:11">
      <c r="B16" s="10" t="s">
        <v>26</v>
      </c>
      <c r="C16" s="2"/>
      <c r="D16" s="8"/>
      <c r="E16" s="8"/>
      <c r="F16" s="8"/>
      <c r="G16" s="11"/>
      <c r="H16" s="15"/>
    </row>
    <row r="17" spans="2:8">
      <c r="B17" s="8"/>
      <c r="C17" s="4"/>
      <c r="D17" s="8"/>
      <c r="E17" s="8"/>
      <c r="F17" s="8"/>
      <c r="G17" s="11"/>
      <c r="H17" s="15"/>
    </row>
    <row r="18" spans="2:8">
      <c r="B18" s="8" t="s">
        <v>8</v>
      </c>
      <c r="C18" s="4"/>
      <c r="D18" s="8"/>
      <c r="E18" s="128"/>
      <c r="F18" s="132">
        <f>G18/H14</f>
        <v>0.30078125</v>
      </c>
      <c r="G18" s="130">
        <f>'Normal MSC FOR FILLING'!F26+'Normal MSC FOR FILLING'!F27+'Normal MSC FOR FILLING'!F28+'Normal MSC FOR FILLING'!F29+'Normal MSC FOR FILLING'!F30+'Normal MSC FOR FILLING'!G65</f>
        <v>1540000</v>
      </c>
      <c r="H18" s="15"/>
    </row>
    <row r="19" spans="2:8">
      <c r="B19" s="8" t="s">
        <v>9</v>
      </c>
      <c r="C19" s="4"/>
      <c r="D19" s="8"/>
      <c r="E19" s="128"/>
      <c r="F19" s="132">
        <f>G19/H14</f>
        <v>1.42578125E-2</v>
      </c>
      <c r="G19" s="130">
        <f>'Normal MSC FOR FILLING'!F32+'Normal MSC FOR FILLING'!F33+'Normal MSC FOR FILLING'!F34+'Normal MSC FOR FILLING'!F35</f>
        <v>73000</v>
      </c>
      <c r="H19" s="15"/>
    </row>
    <row r="20" spans="2:8">
      <c r="B20" s="8" t="s">
        <v>10</v>
      </c>
      <c r="C20" s="4"/>
      <c r="D20" s="8"/>
      <c r="E20" s="8"/>
      <c r="F20" s="132">
        <f>G20/H14</f>
        <v>0.05</v>
      </c>
      <c r="G20" s="130">
        <f>'Normal MSC FOR FILLING'!G75</f>
        <v>256000</v>
      </c>
      <c r="H20" s="15"/>
    </row>
    <row r="21" spans="2:8">
      <c r="B21" s="8" t="s">
        <v>11</v>
      </c>
      <c r="C21" s="4"/>
      <c r="D21" s="8"/>
      <c r="E21" s="8"/>
      <c r="F21" s="132">
        <f>G21/H14</f>
        <v>6.4355468750000006E-2</v>
      </c>
      <c r="G21" s="130">
        <f>'Normal MSC FOR FILLING'!F37+'Normal MSC FOR FILLING'!F61+'Normal MSC FOR FILLING'!G90</f>
        <v>329500</v>
      </c>
      <c r="H21" s="15"/>
    </row>
    <row r="22" spans="2:8">
      <c r="B22" s="10" t="s">
        <v>12</v>
      </c>
      <c r="C22" s="4"/>
      <c r="D22" s="8"/>
      <c r="E22" s="8"/>
      <c r="F22" s="132">
        <f>G22/H14</f>
        <v>0.35</v>
      </c>
      <c r="G22" s="130">
        <f>'Normal MSC FOR FILLING'!G80+'Normal MSC FOR FILLING'!G86</f>
        <v>1792000</v>
      </c>
      <c r="H22" s="15"/>
    </row>
    <row r="23" spans="2:8">
      <c r="B23" s="8" t="s">
        <v>13</v>
      </c>
      <c r="C23" s="4"/>
      <c r="D23" s="8"/>
      <c r="E23" s="8"/>
      <c r="F23" s="8"/>
      <c r="G23" s="11"/>
      <c r="H23" s="15"/>
    </row>
    <row r="24" spans="2:8">
      <c r="B24" s="8" t="s">
        <v>14</v>
      </c>
      <c r="C24" s="4"/>
      <c r="D24" s="8"/>
      <c r="E24" s="8"/>
      <c r="F24" s="8"/>
      <c r="G24" s="130">
        <f>H14*0.001</f>
        <v>5120</v>
      </c>
      <c r="H24" s="15"/>
    </row>
    <row r="25" spans="2:8">
      <c r="B25" s="8" t="s">
        <v>15</v>
      </c>
      <c r="C25" s="4"/>
      <c r="D25" s="8"/>
      <c r="E25" s="8"/>
      <c r="F25" s="8"/>
      <c r="G25" s="11"/>
      <c r="H25" s="15"/>
    </row>
    <row r="26" spans="2:8" ht="7.5" customHeight="1">
      <c r="B26" s="8"/>
      <c r="C26" s="4"/>
      <c r="D26" s="8"/>
      <c r="E26" s="8"/>
      <c r="F26" s="8"/>
      <c r="G26" s="11"/>
      <c r="H26" s="15"/>
    </row>
    <row r="27" spans="2:8">
      <c r="B27" s="8" t="s">
        <v>131</v>
      </c>
      <c r="C27" s="4"/>
      <c r="D27" s="131">
        <f>'Normal MSC FOR FILLING'!D57</f>
        <v>5000</v>
      </c>
      <c r="E27" s="131">
        <f>'Normal MSC FOR FILLING'!E57</f>
        <v>32</v>
      </c>
      <c r="F27" s="132">
        <f>G27/H14</f>
        <v>3.125E-2</v>
      </c>
      <c r="G27" s="130">
        <f>D27*E27</f>
        <v>160000</v>
      </c>
      <c r="H27" s="15"/>
    </row>
    <row r="28" spans="2:8">
      <c r="B28" s="8" t="s">
        <v>132</v>
      </c>
      <c r="C28" s="4"/>
      <c r="D28" s="131">
        <f>'Normal MSC FOR FILLING'!D56</f>
        <v>1500</v>
      </c>
      <c r="E28" s="131">
        <f>'Normal MSC FOR FILLING'!E56</f>
        <v>32</v>
      </c>
      <c r="F28" s="132">
        <f>G28/H14</f>
        <v>9.3749999999999997E-3</v>
      </c>
      <c r="G28" s="130">
        <f t="shared" ref="G28:G29" si="1">D28*E28</f>
        <v>48000</v>
      </c>
      <c r="H28" s="15"/>
    </row>
    <row r="29" spans="2:8">
      <c r="B29" s="8" t="s">
        <v>129</v>
      </c>
      <c r="C29" s="4"/>
      <c r="D29" s="131">
        <f>'Normal MSC FOR FILLING'!D60</f>
        <v>5000</v>
      </c>
      <c r="E29" s="131">
        <f>'Normal MSC FOR FILLING'!E60</f>
        <v>32</v>
      </c>
      <c r="F29" s="132">
        <f>G29/H14</f>
        <v>3.125E-2</v>
      </c>
      <c r="G29" s="130">
        <f t="shared" si="1"/>
        <v>160000</v>
      </c>
      <c r="H29" s="15"/>
    </row>
    <row r="30" spans="2:8">
      <c r="B30" s="8" t="s">
        <v>130</v>
      </c>
      <c r="C30" s="4"/>
      <c r="D30" s="131">
        <f>'Normal MSC FOR FILLING'!D59</f>
        <v>12500</v>
      </c>
      <c r="E30" s="131">
        <f>'Normal MSC FOR FILLING'!E59</f>
        <v>32</v>
      </c>
      <c r="F30" s="132">
        <f>G30/H14</f>
        <v>1.9667968750000001E-2</v>
      </c>
      <c r="G30" s="130">
        <f>'Normal MSC FOR FILLING'!F42+'Normal MSC FOR FILLING'!F43+'Normal MSC FOR FILLING'!F44+'Normal MSC FOR FILLING'!F45+'Normal MSC FOR FILLING'!F46+'Normal MSC FOR FILLING'!F47+'Normal MSC FOR FILLING'!F48+'Normal MSC FOR FILLING'!F49+'Normal MSC FOR FILLING'!F50</f>
        <v>100700</v>
      </c>
      <c r="H30" s="15"/>
    </row>
    <row r="31" spans="2:8">
      <c r="B31" s="127" t="s">
        <v>133</v>
      </c>
      <c r="C31" s="4"/>
      <c r="D31" s="131">
        <f>'Normal MSC FOR FILLING'!D59</f>
        <v>12500</v>
      </c>
      <c r="E31" s="131">
        <f>'Normal MSC FOR FILLING'!E59</f>
        <v>32</v>
      </c>
      <c r="F31" s="132">
        <f>G31/H14</f>
        <v>7.8125E-2</v>
      </c>
      <c r="G31" s="130">
        <f>D31*E31</f>
        <v>400000</v>
      </c>
      <c r="H31" s="15"/>
    </row>
    <row r="32" spans="2:8">
      <c r="B32" s="8" t="s">
        <v>134</v>
      </c>
      <c r="C32" s="4"/>
      <c r="D32" s="8"/>
      <c r="E32" s="8"/>
      <c r="F32" s="132">
        <f>G32/H14</f>
        <v>1.2500000000000001E-2</v>
      </c>
      <c r="G32" s="130">
        <f>'Normal MSC FOR FILLING'!F53+'Normal MSC FOR FILLING'!F54</f>
        <v>64000</v>
      </c>
      <c r="H32" s="15"/>
    </row>
    <row r="33" spans="2:10">
      <c r="B33" s="8"/>
      <c r="C33" s="4"/>
      <c r="D33" s="8"/>
      <c r="E33" s="8"/>
      <c r="F33" s="8"/>
      <c r="G33" s="11"/>
      <c r="H33" s="15"/>
    </row>
    <row r="34" spans="2:10">
      <c r="B34" s="8"/>
      <c r="C34" s="4"/>
      <c r="D34" s="8"/>
      <c r="E34" s="8"/>
      <c r="F34" s="8"/>
      <c r="G34" s="11"/>
      <c r="H34" s="15"/>
    </row>
    <row r="35" spans="2:10" ht="15.75" thickBot="1">
      <c r="B35" s="10" t="s">
        <v>135</v>
      </c>
      <c r="C35" s="4"/>
      <c r="D35" s="8"/>
      <c r="E35" s="8"/>
      <c r="F35" s="8"/>
      <c r="G35" s="16"/>
      <c r="H35" s="129">
        <f>SUM(G18:G35)</f>
        <v>4928320</v>
      </c>
    </row>
    <row r="36" spans="2:10">
      <c r="B36" s="8"/>
      <c r="C36" s="4"/>
      <c r="D36" s="8"/>
      <c r="E36" s="8"/>
      <c r="F36" s="8"/>
      <c r="G36" s="11"/>
      <c r="H36" s="15"/>
    </row>
    <row r="37" spans="2:10">
      <c r="B37" s="10" t="s">
        <v>136</v>
      </c>
      <c r="C37" s="4"/>
      <c r="D37" s="8"/>
      <c r="E37" s="8"/>
      <c r="F37" s="8"/>
      <c r="G37" s="11"/>
      <c r="H37" s="15">
        <f>H14-H35</f>
        <v>191680</v>
      </c>
      <c r="J37" s="133">
        <v>5120000</v>
      </c>
    </row>
    <row r="38" spans="2:10">
      <c r="B38" s="8"/>
      <c r="C38" s="4"/>
      <c r="D38" s="8"/>
      <c r="E38" s="8"/>
      <c r="F38" s="8"/>
      <c r="G38" s="11"/>
      <c r="H38" s="15"/>
    </row>
    <row r="39" spans="2:10">
      <c r="B39" s="10" t="s">
        <v>16</v>
      </c>
      <c r="C39" s="2"/>
      <c r="D39" s="8"/>
      <c r="E39" s="8"/>
      <c r="F39" s="8"/>
      <c r="G39" s="11"/>
      <c r="H39" s="15"/>
      <c r="J39" s="134">
        <f>J37-H35</f>
        <v>191680</v>
      </c>
    </row>
    <row r="40" spans="2:10">
      <c r="B40" s="8"/>
      <c r="C40" s="4"/>
      <c r="D40" s="8"/>
      <c r="E40" s="8"/>
      <c r="F40" s="8"/>
      <c r="G40" s="11"/>
      <c r="H40" s="15"/>
      <c r="J40" s="134">
        <f>J39+G24</f>
        <v>196800</v>
      </c>
    </row>
    <row r="41" spans="2:10">
      <c r="B41" s="8" t="s">
        <v>17</v>
      </c>
      <c r="C41" s="4"/>
      <c r="D41" s="8"/>
      <c r="E41" s="8"/>
      <c r="F41" s="137">
        <f>G41/H37</f>
        <v>0.3</v>
      </c>
      <c r="G41" s="130">
        <f>H37*0.3</f>
        <v>57504</v>
      </c>
      <c r="H41" s="15"/>
    </row>
    <row r="42" spans="2:10">
      <c r="B42" s="8" t="s">
        <v>18</v>
      </c>
      <c r="C42" s="4"/>
      <c r="D42" s="8"/>
      <c r="E42" s="8"/>
      <c r="F42" s="137">
        <f>G42/H37</f>
        <v>0.05</v>
      </c>
      <c r="G42" s="130">
        <f>H37*0.05</f>
        <v>9584</v>
      </c>
      <c r="H42" s="15"/>
    </row>
    <row r="43" spans="2:10">
      <c r="B43" s="8" t="s">
        <v>19</v>
      </c>
      <c r="C43" s="4"/>
      <c r="D43" s="8"/>
      <c r="E43" s="8"/>
      <c r="F43" s="137">
        <f>G43/H37</f>
        <v>0.65</v>
      </c>
      <c r="G43" s="130">
        <f>H37*0.65</f>
        <v>124592</v>
      </c>
      <c r="H43" s="5">
        <f>SUM(G41:G43)</f>
        <v>191680</v>
      </c>
    </row>
    <row r="44" spans="2:10">
      <c r="B44" s="8"/>
      <c r="C44" s="4"/>
      <c r="D44" s="8"/>
      <c r="E44" s="8"/>
      <c r="F44" s="8"/>
      <c r="G44" s="11"/>
      <c r="H44" s="15"/>
    </row>
    <row r="45" spans="2:10" ht="15.75" thickBot="1">
      <c r="B45" s="10" t="s">
        <v>20</v>
      </c>
      <c r="C45" s="2"/>
      <c r="D45" s="8"/>
      <c r="E45" s="8"/>
      <c r="F45" s="8"/>
      <c r="G45" s="11"/>
      <c r="H45" s="17">
        <f>H35+H43</f>
        <v>5120000</v>
      </c>
    </row>
    <row r="46" spans="2:10" ht="15.75" thickTop="1">
      <c r="B46" s="8"/>
      <c r="C46" s="4"/>
      <c r="D46" s="8"/>
      <c r="E46" s="8"/>
      <c r="F46" s="8"/>
      <c r="G46" s="11"/>
      <c r="H46" s="15"/>
    </row>
    <row r="47" spans="2:10">
      <c r="B47" s="10" t="s">
        <v>21</v>
      </c>
      <c r="C47" s="2"/>
      <c r="D47" s="8"/>
      <c r="E47" s="8"/>
      <c r="F47" s="8"/>
      <c r="G47" s="11"/>
      <c r="H47" s="15"/>
    </row>
    <row r="48" spans="2:10">
      <c r="B48" s="8"/>
      <c r="C48" s="4"/>
      <c r="D48" s="8"/>
      <c r="E48" s="8"/>
      <c r="F48" s="8"/>
      <c r="G48" s="11"/>
      <c r="H48" s="15"/>
    </row>
    <row r="49" spans="2:8">
      <c r="B49" s="10" t="s">
        <v>22</v>
      </c>
      <c r="C49" s="2"/>
      <c r="D49" s="8"/>
      <c r="E49" s="8"/>
      <c r="F49" s="8"/>
      <c r="G49" s="11"/>
      <c r="H49" s="6">
        <f>(G22+G41+G42)/H14</f>
        <v>0.36310312500000003</v>
      </c>
    </row>
    <row r="50" spans="2:8" ht="15.75" thickBot="1">
      <c r="B50" s="9"/>
      <c r="C50" s="7"/>
      <c r="D50" s="9"/>
      <c r="E50" s="9"/>
      <c r="F50" s="9"/>
      <c r="G50" s="16"/>
      <c r="H50" s="136"/>
    </row>
    <row r="52" spans="2:8" ht="10.5" customHeight="1"/>
    <row r="54" spans="2:8">
      <c r="B54" s="19" t="s">
        <v>122</v>
      </c>
      <c r="C54" s="19"/>
      <c r="D54" s="19"/>
      <c r="E54" s="19" t="s">
        <v>123</v>
      </c>
      <c r="F54" s="100"/>
    </row>
    <row r="55" spans="2:8">
      <c r="B55" s="123"/>
      <c r="C55" s="19"/>
      <c r="D55" s="19"/>
      <c r="E55" s="123"/>
      <c r="F55" s="100"/>
    </row>
    <row r="56" spans="2:8">
      <c r="B56" s="124" t="s">
        <v>124</v>
      </c>
      <c r="C56" s="19"/>
      <c r="D56" s="19"/>
      <c r="E56" s="91" t="s">
        <v>125</v>
      </c>
      <c r="F56" s="100"/>
    </row>
    <row r="57" spans="2:8">
      <c r="B57" s="124" t="s">
        <v>126</v>
      </c>
      <c r="C57" s="19"/>
      <c r="D57" s="19"/>
      <c r="E57" s="19"/>
      <c r="F57" s="100"/>
    </row>
    <row r="58" spans="2:8">
      <c r="B58" s="124"/>
      <c r="C58" s="19"/>
      <c r="D58" s="19"/>
      <c r="E58" s="19"/>
      <c r="F58" s="100"/>
    </row>
    <row r="59" spans="2:8" ht="10.5" customHeight="1">
      <c r="B59" s="124"/>
      <c r="C59" s="19"/>
      <c r="D59" s="19"/>
      <c r="E59" s="19"/>
      <c r="F59" s="100"/>
    </row>
    <row r="60" spans="2:8">
      <c r="B60" s="19"/>
      <c r="C60" s="19"/>
      <c r="D60" s="19"/>
      <c r="E60" s="19"/>
      <c r="F60" s="100"/>
    </row>
    <row r="61" spans="2:8">
      <c r="B61" s="19" t="s">
        <v>127</v>
      </c>
      <c r="C61" s="19"/>
      <c r="D61" s="19"/>
      <c r="E61" s="19"/>
      <c r="F61" s="100"/>
    </row>
    <row r="62" spans="2:8">
      <c r="B62" s="124" t="s">
        <v>137</v>
      </c>
      <c r="C62" s="19"/>
      <c r="D62" s="19"/>
      <c r="E62" s="19"/>
      <c r="F62" s="100"/>
    </row>
    <row r="63" spans="2:8">
      <c r="B63" s="124" t="s">
        <v>128</v>
      </c>
      <c r="C63" s="19"/>
      <c r="D63" s="19"/>
      <c r="E63" s="19"/>
      <c r="F63" s="100"/>
    </row>
    <row r="64" spans="2:8">
      <c r="B64" s="100"/>
      <c r="C64" s="100"/>
      <c r="D64" s="100"/>
      <c r="E64" s="100"/>
      <c r="F64" s="100"/>
    </row>
    <row r="66" spans="2:2" s="100" customFormat="1" ht="18.75">
      <c r="B66" s="148"/>
    </row>
  </sheetData>
  <pageMargins left="0.45" right="0.45" top="0.75" bottom="0.75" header="0.3" footer="0.3"/>
  <pageSetup scale="75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26"/>
  <sheetViews>
    <sheetView tabSelected="1" topLeftCell="A5" workbookViewId="0">
      <selection activeCell="D37" sqref="D37"/>
    </sheetView>
  </sheetViews>
  <sheetFormatPr defaultRowHeight="15"/>
  <cols>
    <col min="1" max="1" width="1" customWidth="1"/>
    <col min="2" max="2" width="8.28515625" bestFit="1" customWidth="1"/>
    <col min="3" max="3" width="50.85546875" customWidth="1"/>
    <col min="6" max="6" width="12" customWidth="1"/>
    <col min="7" max="7" width="12.140625" bestFit="1" customWidth="1"/>
    <col min="8" max="8" width="5.7109375" customWidth="1"/>
  </cols>
  <sheetData>
    <row r="1" spans="2:11" ht="19.5">
      <c r="B1" s="19"/>
      <c r="C1" s="146" t="s">
        <v>30</v>
      </c>
      <c r="D1" s="20"/>
      <c r="E1" s="20"/>
      <c r="F1" s="20"/>
      <c r="G1" s="20"/>
      <c r="H1" s="20"/>
    </row>
    <row r="2" spans="2:11" ht="6" customHeight="1">
      <c r="B2" s="19"/>
      <c r="C2" s="21"/>
      <c r="D2" s="20"/>
      <c r="E2" s="20"/>
      <c r="F2" s="20"/>
      <c r="G2" s="20"/>
      <c r="H2" s="20"/>
    </row>
    <row r="3" spans="2:11" ht="20.25">
      <c r="B3" s="19"/>
      <c r="C3" s="147" t="s">
        <v>142</v>
      </c>
      <c r="D3" s="143" t="s">
        <v>141</v>
      </c>
      <c r="E3" s="144"/>
      <c r="F3" s="144"/>
      <c r="G3" s="144"/>
      <c r="H3" s="144"/>
      <c r="I3" s="145"/>
      <c r="J3" s="145"/>
      <c r="K3" s="145"/>
    </row>
    <row r="4" spans="2:11" ht="39" customHeight="1">
      <c r="B4" s="19"/>
      <c r="C4" s="149" t="s">
        <v>143</v>
      </c>
      <c r="D4" s="22"/>
      <c r="E4" s="20"/>
      <c r="G4" s="150" t="s">
        <v>140</v>
      </c>
      <c r="H4" s="20"/>
    </row>
    <row r="5" spans="2:11" ht="15.75" thickBot="1">
      <c r="B5" s="19"/>
      <c r="C5" s="23"/>
      <c r="D5" s="20"/>
      <c r="E5" s="20"/>
      <c r="F5" s="20"/>
      <c r="G5" s="20"/>
      <c r="H5" s="20"/>
    </row>
    <row r="6" spans="2:11">
      <c r="B6" s="24" t="s">
        <v>31</v>
      </c>
      <c r="C6" s="24" t="s">
        <v>32</v>
      </c>
      <c r="D6" s="24" t="s">
        <v>33</v>
      </c>
      <c r="E6" s="24" t="s">
        <v>34</v>
      </c>
      <c r="F6" s="24" t="s">
        <v>35</v>
      </c>
      <c r="G6" s="24" t="s">
        <v>35</v>
      </c>
      <c r="H6" s="24" t="s">
        <v>36</v>
      </c>
    </row>
    <row r="7" spans="2:11" ht="15.75" thickBot="1">
      <c r="B7" s="25" t="s">
        <v>37</v>
      </c>
      <c r="C7" s="25"/>
      <c r="D7" s="25"/>
      <c r="E7" s="25"/>
      <c r="F7" s="25" t="s">
        <v>38</v>
      </c>
      <c r="G7" s="25" t="s">
        <v>38</v>
      </c>
      <c r="H7" s="25" t="s">
        <v>39</v>
      </c>
    </row>
    <row r="8" spans="2:11">
      <c r="B8" s="26"/>
      <c r="C8" s="27"/>
      <c r="D8" s="28"/>
      <c r="E8" s="28"/>
      <c r="F8" s="29"/>
      <c r="G8" s="29"/>
      <c r="H8" s="28"/>
    </row>
    <row r="9" spans="2:11">
      <c r="B9" s="30" t="s">
        <v>40</v>
      </c>
      <c r="C9" s="31" t="s">
        <v>41</v>
      </c>
      <c r="D9" s="32"/>
      <c r="E9" s="32"/>
      <c r="F9" s="33"/>
      <c r="G9" s="33"/>
      <c r="H9" s="32"/>
    </row>
    <row r="10" spans="2:11">
      <c r="B10" s="30"/>
      <c r="C10" s="31" t="s">
        <v>42</v>
      </c>
      <c r="D10" s="32"/>
      <c r="E10" s="34">
        <v>50</v>
      </c>
      <c r="F10" s="33"/>
      <c r="G10" s="33"/>
      <c r="H10" s="32"/>
    </row>
    <row r="11" spans="2:11">
      <c r="B11" s="30"/>
      <c r="C11" s="31" t="s">
        <v>43</v>
      </c>
      <c r="D11" s="32"/>
      <c r="E11" s="34">
        <v>45</v>
      </c>
      <c r="F11" s="33"/>
      <c r="G11" s="33"/>
      <c r="H11" s="32"/>
    </row>
    <row r="12" spans="2:11">
      <c r="B12" s="30"/>
      <c r="C12" s="31" t="s">
        <v>44</v>
      </c>
      <c r="D12" s="32"/>
      <c r="E12" s="34">
        <v>40</v>
      </c>
      <c r="F12" s="33"/>
      <c r="G12" s="33"/>
      <c r="H12" s="32"/>
    </row>
    <row r="13" spans="2:11" hidden="1">
      <c r="B13" s="30"/>
      <c r="C13" s="31"/>
      <c r="D13" s="32"/>
      <c r="E13" s="33">
        <f>E12*0.2</f>
        <v>8</v>
      </c>
      <c r="F13" s="33"/>
      <c r="G13" s="33"/>
      <c r="H13" s="32"/>
    </row>
    <row r="14" spans="2:11">
      <c r="B14" s="30"/>
      <c r="C14" s="31" t="s">
        <v>45</v>
      </c>
      <c r="D14" s="32"/>
      <c r="E14" s="33">
        <f>ROUNDUP(E13,0)</f>
        <v>8</v>
      </c>
      <c r="F14" s="33"/>
      <c r="G14" s="33"/>
      <c r="H14" s="32"/>
    </row>
    <row r="15" spans="2:11">
      <c r="B15" s="30"/>
      <c r="C15" s="31" t="s">
        <v>46</v>
      </c>
      <c r="D15" s="34">
        <v>160000</v>
      </c>
      <c r="E15" s="33">
        <f>E12-E14</f>
        <v>32</v>
      </c>
      <c r="F15" s="33">
        <f>D15*E15</f>
        <v>5120000</v>
      </c>
      <c r="G15" s="33"/>
      <c r="H15" s="32"/>
    </row>
    <row r="16" spans="2:11">
      <c r="B16" s="30"/>
      <c r="C16" s="31"/>
      <c r="D16" s="35"/>
      <c r="E16" s="33"/>
      <c r="F16" s="33"/>
      <c r="G16" s="33"/>
      <c r="H16" s="32"/>
    </row>
    <row r="17" spans="2:8">
      <c r="B17" s="36"/>
      <c r="C17" s="37"/>
      <c r="D17" s="38"/>
      <c r="E17" s="38"/>
      <c r="F17" s="39"/>
      <c r="G17" s="40">
        <f>F15+F16</f>
        <v>5120000</v>
      </c>
      <c r="H17" s="41"/>
    </row>
    <row r="18" spans="2:8" hidden="1">
      <c r="B18" s="42" t="s">
        <v>47</v>
      </c>
      <c r="C18" s="43" t="s">
        <v>48</v>
      </c>
      <c r="D18" s="44"/>
      <c r="E18" s="44"/>
      <c r="F18" s="44"/>
      <c r="G18" s="45"/>
      <c r="H18" s="46"/>
    </row>
    <row r="19" spans="2:8" hidden="1">
      <c r="B19" s="36">
        <v>1</v>
      </c>
      <c r="C19" s="37" t="s">
        <v>49</v>
      </c>
      <c r="D19" s="47"/>
      <c r="E19" s="48"/>
      <c r="F19" s="47"/>
      <c r="G19" s="49"/>
      <c r="H19" s="50"/>
    </row>
    <row r="20" spans="2:8" hidden="1">
      <c r="B20" s="42"/>
      <c r="C20" s="43"/>
      <c r="D20" s="51"/>
      <c r="E20" s="51"/>
      <c r="F20" s="51"/>
      <c r="G20" s="52"/>
      <c r="H20" s="42"/>
    </row>
    <row r="21" spans="2:8" hidden="1">
      <c r="B21" s="36">
        <v>2</v>
      </c>
      <c r="C21" s="37" t="s">
        <v>50</v>
      </c>
      <c r="D21" s="47"/>
      <c r="E21" s="47"/>
      <c r="F21" s="47"/>
      <c r="G21" s="49"/>
      <c r="H21" s="50"/>
    </row>
    <row r="22" spans="2:8" hidden="1">
      <c r="B22" s="42"/>
      <c r="C22" s="43"/>
      <c r="D22" s="51"/>
      <c r="E22" s="51"/>
      <c r="F22" s="51"/>
      <c r="G22" s="52"/>
      <c r="H22" s="42"/>
    </row>
    <row r="23" spans="2:8" hidden="1">
      <c r="B23" s="36">
        <v>3</v>
      </c>
      <c r="C23" s="37" t="s">
        <v>51</v>
      </c>
      <c r="D23" s="47"/>
      <c r="E23" s="47"/>
      <c r="F23" s="47"/>
      <c r="G23" s="49"/>
      <c r="H23" s="50"/>
    </row>
    <row r="24" spans="2:8">
      <c r="B24" s="42"/>
      <c r="C24" s="43"/>
      <c r="D24" s="51"/>
      <c r="E24" s="51"/>
      <c r="F24" s="51"/>
      <c r="G24" s="52"/>
      <c r="H24" s="42"/>
    </row>
    <row r="25" spans="2:8">
      <c r="B25" s="30">
        <v>4</v>
      </c>
      <c r="C25" s="31" t="s">
        <v>52</v>
      </c>
      <c r="D25" s="53"/>
      <c r="E25" s="53"/>
      <c r="F25" s="53"/>
      <c r="G25" s="54"/>
      <c r="H25" s="30"/>
    </row>
    <row r="26" spans="2:8">
      <c r="B26" s="30"/>
      <c r="C26" s="31" t="s">
        <v>53</v>
      </c>
      <c r="D26" s="34">
        <v>2500</v>
      </c>
      <c r="E26" s="63">
        <v>325</v>
      </c>
      <c r="F26" s="53">
        <f>D26*E26</f>
        <v>812500</v>
      </c>
      <c r="G26" s="54"/>
      <c r="H26" s="55"/>
    </row>
    <row r="27" spans="2:8">
      <c r="B27" s="30"/>
      <c r="C27" s="31" t="s">
        <v>54</v>
      </c>
      <c r="D27" s="34">
        <v>1000</v>
      </c>
      <c r="E27" s="63">
        <v>180</v>
      </c>
      <c r="F27" s="53">
        <f>D27*E27</f>
        <v>180000</v>
      </c>
      <c r="G27" s="54"/>
      <c r="H27" s="55"/>
    </row>
    <row r="28" spans="2:8">
      <c r="B28" s="30"/>
      <c r="C28" s="31" t="s">
        <v>55</v>
      </c>
      <c r="D28" s="34">
        <v>600</v>
      </c>
      <c r="E28" s="63">
        <v>600</v>
      </c>
      <c r="F28" s="53">
        <f>D28*E28</f>
        <v>360000</v>
      </c>
      <c r="G28" s="54"/>
      <c r="H28" s="30"/>
    </row>
    <row r="29" spans="2:8">
      <c r="B29" s="30"/>
      <c r="C29" s="31" t="s">
        <v>56</v>
      </c>
      <c r="D29" s="53">
        <v>300</v>
      </c>
      <c r="E29" s="63">
        <v>300</v>
      </c>
      <c r="F29" s="53">
        <f>D29*E29</f>
        <v>90000</v>
      </c>
      <c r="G29" s="54"/>
      <c r="H29" s="30"/>
    </row>
    <row r="30" spans="2:8">
      <c r="B30" s="30"/>
      <c r="C30" s="31" t="s">
        <v>57</v>
      </c>
      <c r="D30" s="53">
        <v>225</v>
      </c>
      <c r="E30" s="63">
        <v>300</v>
      </c>
      <c r="F30" s="53">
        <f>D30*E30</f>
        <v>67500</v>
      </c>
      <c r="G30" s="56"/>
      <c r="H30" s="32"/>
    </row>
    <row r="31" spans="2:8" ht="9" customHeight="1">
      <c r="B31" s="30"/>
      <c r="C31" s="31"/>
      <c r="D31" s="53"/>
      <c r="E31" s="63"/>
      <c r="F31" s="53"/>
      <c r="G31" s="56"/>
      <c r="H31" s="32"/>
    </row>
    <row r="32" spans="2:8">
      <c r="B32" s="30"/>
      <c r="C32" s="31" t="s">
        <v>58</v>
      </c>
      <c r="D32" s="34">
        <v>1000</v>
      </c>
      <c r="E32" s="63">
        <v>40</v>
      </c>
      <c r="F32" s="53">
        <f>D32*E32</f>
        <v>40000</v>
      </c>
      <c r="G32" s="56"/>
      <c r="H32" s="32"/>
    </row>
    <row r="33" spans="2:8">
      <c r="B33" s="30"/>
      <c r="C33" s="31" t="s">
        <v>59</v>
      </c>
      <c r="D33" s="34">
        <v>750</v>
      </c>
      <c r="E33" s="63">
        <v>30</v>
      </c>
      <c r="F33" s="53">
        <f>D33*E33</f>
        <v>22500</v>
      </c>
      <c r="G33" s="56"/>
      <c r="H33" s="32"/>
    </row>
    <row r="34" spans="2:8">
      <c r="B34" s="30"/>
      <c r="C34" s="31" t="s">
        <v>56</v>
      </c>
      <c r="D34" s="53">
        <v>300</v>
      </c>
      <c r="E34" s="63">
        <v>20</v>
      </c>
      <c r="F34" s="53">
        <f>D34*E34</f>
        <v>6000</v>
      </c>
      <c r="G34" s="56"/>
      <c r="H34" s="32"/>
    </row>
    <row r="35" spans="2:8">
      <c r="B35" s="30"/>
      <c r="C35" s="31" t="s">
        <v>57</v>
      </c>
      <c r="D35" s="53">
        <v>225</v>
      </c>
      <c r="E35" s="63">
        <v>20</v>
      </c>
      <c r="F35" s="53">
        <f>D35*E35</f>
        <v>4500</v>
      </c>
      <c r="G35" s="56"/>
      <c r="H35" s="32"/>
    </row>
    <row r="36" spans="2:8" ht="8.25" customHeight="1">
      <c r="B36" s="30"/>
      <c r="C36" s="31"/>
      <c r="D36" s="53"/>
      <c r="E36" s="53"/>
      <c r="F36" s="53"/>
      <c r="G36" s="56"/>
      <c r="H36" s="32"/>
    </row>
    <row r="37" spans="2:8">
      <c r="B37" s="30"/>
      <c r="C37" s="31" t="s">
        <v>60</v>
      </c>
      <c r="D37" s="53">
        <v>12</v>
      </c>
      <c r="E37" s="53">
        <f>F37/D37</f>
        <v>6833.333333333333</v>
      </c>
      <c r="F37" s="34">
        <v>82000</v>
      </c>
      <c r="G37" s="54">
        <f>SUM(F26:F37)</f>
        <v>1665000</v>
      </c>
      <c r="H37" s="57">
        <f>G37/G91</f>
        <v>0.32147822057460612</v>
      </c>
    </row>
    <row r="38" spans="2:8">
      <c r="B38" s="30"/>
      <c r="C38" s="58"/>
      <c r="D38" s="53"/>
      <c r="E38" s="53"/>
      <c r="F38" s="53"/>
      <c r="G38" s="54"/>
      <c r="H38" s="25"/>
    </row>
    <row r="39" spans="2:8" ht="0.75" customHeight="1">
      <c r="B39" s="42"/>
      <c r="C39" s="43"/>
      <c r="D39" s="51"/>
      <c r="E39" s="51"/>
      <c r="F39" s="51"/>
      <c r="G39" s="52"/>
      <c r="H39" s="59"/>
    </row>
    <row r="40" spans="2:8">
      <c r="B40" s="30">
        <v>5</v>
      </c>
      <c r="C40" s="31" t="s">
        <v>61</v>
      </c>
      <c r="D40" s="53"/>
      <c r="E40" s="53"/>
      <c r="F40" s="53"/>
      <c r="G40" s="54"/>
      <c r="H40" s="60"/>
    </row>
    <row r="41" spans="2:8">
      <c r="B41" s="30"/>
      <c r="C41" s="61" t="s">
        <v>62</v>
      </c>
      <c r="D41" s="53"/>
      <c r="E41" s="53"/>
      <c r="F41" s="53"/>
      <c r="G41" s="54"/>
      <c r="H41" s="60"/>
    </row>
    <row r="42" spans="2:8">
      <c r="B42" s="30"/>
      <c r="C42" s="31" t="s">
        <v>63</v>
      </c>
      <c r="D42" s="53">
        <v>1500</v>
      </c>
      <c r="E42" s="34">
        <v>10</v>
      </c>
      <c r="F42" s="53">
        <f t="shared" ref="F42:F49" si="0">D42*E42</f>
        <v>15000</v>
      </c>
      <c r="G42" s="54"/>
      <c r="H42" s="60"/>
    </row>
    <row r="43" spans="2:8">
      <c r="B43" s="30"/>
      <c r="C43" s="31" t="s">
        <v>64</v>
      </c>
      <c r="D43" s="53">
        <v>500</v>
      </c>
      <c r="E43" s="34">
        <v>3</v>
      </c>
      <c r="F43" s="53">
        <f t="shared" si="0"/>
        <v>1500</v>
      </c>
      <c r="G43" s="54"/>
      <c r="H43" s="60"/>
    </row>
    <row r="44" spans="2:8">
      <c r="B44" s="30"/>
      <c r="C44" s="31" t="s">
        <v>65</v>
      </c>
      <c r="D44" s="53">
        <v>150</v>
      </c>
      <c r="E44" s="53">
        <f>E15*E42</f>
        <v>320</v>
      </c>
      <c r="F44" s="53">
        <f t="shared" si="0"/>
        <v>48000</v>
      </c>
      <c r="G44" s="54"/>
      <c r="H44" s="60"/>
    </row>
    <row r="45" spans="2:8">
      <c r="B45" s="30"/>
      <c r="C45" s="31" t="s">
        <v>66</v>
      </c>
      <c r="D45" s="53">
        <v>150</v>
      </c>
      <c r="E45" s="53">
        <f>E15*E43</f>
        <v>96</v>
      </c>
      <c r="F45" s="53">
        <f t="shared" si="0"/>
        <v>14400</v>
      </c>
      <c r="G45" s="54"/>
      <c r="H45" s="60"/>
    </row>
    <row r="46" spans="2:8">
      <c r="B46" s="30"/>
      <c r="C46" s="31" t="s">
        <v>67</v>
      </c>
      <c r="D46" s="53">
        <v>50</v>
      </c>
      <c r="E46" s="53">
        <f>E42*2</f>
        <v>20</v>
      </c>
      <c r="F46" s="53">
        <f t="shared" si="0"/>
        <v>1000</v>
      </c>
      <c r="G46" s="54"/>
      <c r="H46" s="60"/>
    </row>
    <row r="47" spans="2:8">
      <c r="B47" s="30"/>
      <c r="C47" s="31" t="s">
        <v>68</v>
      </c>
      <c r="D47" s="53">
        <v>1000</v>
      </c>
      <c r="E47" s="53">
        <f>E42</f>
        <v>10</v>
      </c>
      <c r="F47" s="53">
        <f t="shared" si="0"/>
        <v>10000</v>
      </c>
      <c r="G47" s="54"/>
      <c r="H47" s="60"/>
    </row>
    <row r="48" spans="2:8">
      <c r="B48" s="30"/>
      <c r="C48" s="31" t="s">
        <v>69</v>
      </c>
      <c r="D48" s="53">
        <v>1000</v>
      </c>
      <c r="E48" s="53">
        <f>E43</f>
        <v>3</v>
      </c>
      <c r="F48" s="53">
        <f t="shared" si="0"/>
        <v>3000</v>
      </c>
      <c r="G48" s="54"/>
      <c r="H48" s="60"/>
    </row>
    <row r="49" spans="2:17">
      <c r="B49" s="30"/>
      <c r="C49" s="31" t="s">
        <v>70</v>
      </c>
      <c r="D49" s="53">
        <v>600</v>
      </c>
      <c r="E49" s="53">
        <f>E42</f>
        <v>10</v>
      </c>
      <c r="F49" s="53">
        <f t="shared" si="0"/>
        <v>6000</v>
      </c>
      <c r="G49" s="54"/>
      <c r="H49" s="60"/>
    </row>
    <row r="50" spans="2:17">
      <c r="B50" s="30"/>
      <c r="C50" s="31" t="s">
        <v>71</v>
      </c>
      <c r="D50" s="53">
        <v>600</v>
      </c>
      <c r="E50" s="53">
        <f>E43</f>
        <v>3</v>
      </c>
      <c r="F50" s="53">
        <f>D50*E50</f>
        <v>1800</v>
      </c>
      <c r="G50" s="54"/>
      <c r="H50" s="60"/>
    </row>
    <row r="51" spans="2:17" ht="5.25" customHeight="1">
      <c r="B51" s="30"/>
      <c r="C51" s="31"/>
      <c r="D51" s="53"/>
      <c r="E51" s="53"/>
      <c r="F51" s="53"/>
      <c r="G51" s="54"/>
      <c r="H51" s="60"/>
    </row>
    <row r="52" spans="2:17">
      <c r="B52" s="30"/>
      <c r="C52" s="62" t="s">
        <v>145</v>
      </c>
      <c r="D52" s="53"/>
      <c r="E52" s="53"/>
      <c r="F52" s="53"/>
      <c r="G52" s="54"/>
      <c r="H52" s="60"/>
    </row>
    <row r="53" spans="2:17">
      <c r="B53" s="30"/>
      <c r="C53" s="31" t="s">
        <v>72</v>
      </c>
      <c r="D53" s="53">
        <v>500</v>
      </c>
      <c r="E53" s="53">
        <f>E15</f>
        <v>32</v>
      </c>
      <c r="F53" s="53">
        <f t="shared" ref="F53:F58" si="1">D53*E53</f>
        <v>16000</v>
      </c>
      <c r="G53" s="54"/>
      <c r="H53" s="60"/>
      <c r="L53" s="64"/>
      <c r="Q53">
        <v>1000</v>
      </c>
    </row>
    <row r="54" spans="2:17">
      <c r="B54" s="30"/>
      <c r="C54" s="31" t="s">
        <v>73</v>
      </c>
      <c r="D54" s="53">
        <v>1500</v>
      </c>
      <c r="E54" s="53">
        <f>E15</f>
        <v>32</v>
      </c>
      <c r="F54" s="53">
        <f t="shared" si="1"/>
        <v>48000</v>
      </c>
      <c r="G54" s="54"/>
      <c r="H54" s="60"/>
      <c r="L54" s="138"/>
      <c r="Q54">
        <v>1000</v>
      </c>
    </row>
    <row r="55" spans="2:17">
      <c r="B55" s="30"/>
      <c r="C55" s="31" t="s">
        <v>74</v>
      </c>
      <c r="D55" s="53">
        <f>F55/E55</f>
        <v>0</v>
      </c>
      <c r="E55" s="53">
        <f>E15</f>
        <v>32</v>
      </c>
      <c r="F55" s="53"/>
      <c r="G55" s="54"/>
      <c r="H55" s="60"/>
      <c r="L55" s="138"/>
    </row>
    <row r="56" spans="2:17">
      <c r="B56" s="30"/>
      <c r="C56" s="31" t="s">
        <v>75</v>
      </c>
      <c r="D56" s="53">
        <v>1500</v>
      </c>
      <c r="E56" s="53">
        <f>E15</f>
        <v>32</v>
      </c>
      <c r="F56" s="53">
        <f>D56*E56</f>
        <v>48000</v>
      </c>
      <c r="G56" s="54"/>
      <c r="H56" s="60"/>
      <c r="L56" s="31"/>
    </row>
    <row r="57" spans="2:17">
      <c r="B57" s="30"/>
      <c r="C57" s="31" t="s">
        <v>138</v>
      </c>
      <c r="D57" s="53">
        <v>5000</v>
      </c>
      <c r="E57" s="53">
        <f>E15</f>
        <v>32</v>
      </c>
      <c r="F57" s="53">
        <f t="shared" si="1"/>
        <v>160000</v>
      </c>
      <c r="G57" s="54"/>
      <c r="H57" s="60"/>
      <c r="L57" s="31"/>
    </row>
    <row r="58" spans="2:17">
      <c r="B58" s="30"/>
      <c r="C58" s="31" t="s">
        <v>76</v>
      </c>
      <c r="D58" s="53"/>
      <c r="E58" s="53"/>
      <c r="F58" s="53">
        <f t="shared" si="1"/>
        <v>0</v>
      </c>
      <c r="G58" s="54"/>
      <c r="H58" s="60"/>
      <c r="L58" s="139"/>
    </row>
    <row r="59" spans="2:17">
      <c r="B59" s="30"/>
      <c r="C59" s="31" t="s">
        <v>77</v>
      </c>
      <c r="D59" s="63">
        <v>12500</v>
      </c>
      <c r="E59" s="53">
        <f>E15</f>
        <v>32</v>
      </c>
      <c r="F59" s="53">
        <f>D59*E59</f>
        <v>400000</v>
      </c>
      <c r="G59" s="54"/>
      <c r="H59" s="60"/>
    </row>
    <row r="60" spans="2:17">
      <c r="B60" s="30"/>
      <c r="C60" s="31" t="s">
        <v>78</v>
      </c>
      <c r="D60" s="53">
        <v>5000</v>
      </c>
      <c r="E60" s="53">
        <f>E15</f>
        <v>32</v>
      </c>
      <c r="F60" s="53">
        <f>D60*E60</f>
        <v>160000</v>
      </c>
      <c r="G60" s="54"/>
      <c r="H60" s="60"/>
    </row>
    <row r="61" spans="2:17">
      <c r="B61" s="30"/>
      <c r="C61" s="64" t="s">
        <v>79</v>
      </c>
      <c r="D61" s="53"/>
      <c r="E61" s="53"/>
      <c r="F61" s="53">
        <v>5000</v>
      </c>
      <c r="G61" s="54"/>
      <c r="H61" s="60"/>
    </row>
    <row r="62" spans="2:17" ht="15" customHeight="1" thickBot="1">
      <c r="B62" s="65"/>
      <c r="C62" s="66" t="s">
        <v>80</v>
      </c>
      <c r="D62" s="67"/>
      <c r="E62" s="67"/>
      <c r="F62" s="67"/>
      <c r="G62" s="68">
        <f>SUM(F41:F61)</f>
        <v>937700</v>
      </c>
      <c r="H62" s="69">
        <f>G62/G91</f>
        <v>0.18105112758727215</v>
      </c>
    </row>
    <row r="63" spans="2:17" ht="15.75" hidden="1" thickBot="1">
      <c r="B63" s="70"/>
      <c r="C63" s="71"/>
      <c r="D63" s="72"/>
      <c r="E63" s="72"/>
      <c r="F63" s="72"/>
      <c r="G63" s="73"/>
      <c r="H63" s="74"/>
    </row>
    <row r="64" spans="2:17">
      <c r="B64" s="30">
        <v>6</v>
      </c>
      <c r="C64" s="31" t="s">
        <v>81</v>
      </c>
      <c r="D64" s="34">
        <v>25000</v>
      </c>
      <c r="E64" s="34">
        <v>1</v>
      </c>
      <c r="F64" s="53">
        <f>D64*E64</f>
        <v>25000</v>
      </c>
      <c r="G64" s="54"/>
      <c r="H64" s="60"/>
    </row>
    <row r="65" spans="2:8">
      <c r="B65" s="30"/>
      <c r="C65" s="31" t="s">
        <v>82</v>
      </c>
      <c r="D65" s="34">
        <v>5000</v>
      </c>
      <c r="E65" s="34">
        <v>1</v>
      </c>
      <c r="F65" s="53">
        <f>D65*E65</f>
        <v>5000</v>
      </c>
      <c r="G65" s="54">
        <f>SUM(F64:F65)</f>
        <v>30000</v>
      </c>
      <c r="H65" s="57">
        <f>G65/G91</f>
        <v>5.7924003707136235E-3</v>
      </c>
    </row>
    <row r="66" spans="2:8" ht="2.25" customHeight="1">
      <c r="B66" s="42"/>
      <c r="C66" s="43"/>
      <c r="D66" s="51"/>
      <c r="E66" s="51"/>
      <c r="F66" s="51"/>
      <c r="G66" s="52"/>
      <c r="H66" s="59"/>
    </row>
    <row r="67" spans="2:8" ht="15.75" thickBot="1">
      <c r="B67" s="75">
        <v>7</v>
      </c>
      <c r="C67" s="76" t="s">
        <v>83</v>
      </c>
      <c r="D67" s="77"/>
      <c r="E67" s="77"/>
      <c r="F67" s="77">
        <f>G17*0.05</f>
        <v>256000</v>
      </c>
      <c r="G67" s="78">
        <f>F67</f>
        <v>256000</v>
      </c>
      <c r="H67" s="79">
        <f>G67/G91</f>
        <v>4.9428483163422923E-2</v>
      </c>
    </row>
    <row r="68" spans="2:8">
      <c r="B68" s="30">
        <v>8</v>
      </c>
      <c r="C68" s="31" t="s">
        <v>84</v>
      </c>
      <c r="D68" s="53"/>
      <c r="E68" s="53"/>
      <c r="F68" s="53"/>
      <c r="G68" s="54"/>
      <c r="H68" s="25"/>
    </row>
    <row r="69" spans="2:8">
      <c r="B69" s="30"/>
      <c r="C69" s="31" t="s">
        <v>85</v>
      </c>
      <c r="D69" s="53"/>
      <c r="E69" s="53"/>
      <c r="F69" s="53"/>
      <c r="G69" s="54"/>
      <c r="H69" s="25"/>
    </row>
    <row r="70" spans="2:8" ht="7.5" customHeight="1">
      <c r="B70" s="30"/>
      <c r="C70" s="58"/>
      <c r="D70" s="53"/>
      <c r="E70" s="53"/>
      <c r="F70" s="53"/>
      <c r="G70" s="54"/>
      <c r="H70" s="25"/>
    </row>
    <row r="71" spans="2:8">
      <c r="B71" s="30"/>
      <c r="C71" s="58" t="s">
        <v>86</v>
      </c>
      <c r="D71" s="53"/>
      <c r="E71" s="53"/>
      <c r="F71" s="53">
        <f>G75*0.25</f>
        <v>64000</v>
      </c>
      <c r="G71" s="54"/>
      <c r="H71" s="80"/>
    </row>
    <row r="72" spans="2:8">
      <c r="B72" s="30"/>
      <c r="C72" s="58" t="s">
        <v>87</v>
      </c>
      <c r="D72" s="53"/>
      <c r="E72" s="53"/>
      <c r="F72" s="53">
        <f>G75*0.2</f>
        <v>51200</v>
      </c>
      <c r="G72" s="54"/>
      <c r="H72" s="25"/>
    </row>
    <row r="73" spans="2:8">
      <c r="B73" s="30"/>
      <c r="C73" s="58" t="s">
        <v>88</v>
      </c>
      <c r="D73" s="53"/>
      <c r="E73" s="53"/>
      <c r="F73" s="53">
        <f>G75*0.2</f>
        <v>51200</v>
      </c>
      <c r="G73" s="54"/>
      <c r="H73" s="25"/>
    </row>
    <row r="74" spans="2:8">
      <c r="B74" s="30"/>
      <c r="C74" s="58" t="s">
        <v>89</v>
      </c>
      <c r="D74" s="53"/>
      <c r="E74" s="53"/>
      <c r="F74" s="53">
        <f>G75*0.2</f>
        <v>51200</v>
      </c>
      <c r="G74" s="54"/>
      <c r="H74" s="25"/>
    </row>
    <row r="75" spans="2:8">
      <c r="B75" s="30"/>
      <c r="C75" s="81" t="s">
        <v>90</v>
      </c>
      <c r="D75" s="53"/>
      <c r="E75" s="53"/>
      <c r="F75" s="53">
        <f>G75*0.15</f>
        <v>38400</v>
      </c>
      <c r="G75" s="54">
        <f>G17*0.05</f>
        <v>256000</v>
      </c>
      <c r="H75" s="80">
        <f>G75/G91</f>
        <v>4.9428483163422923E-2</v>
      </c>
    </row>
    <row r="76" spans="2:8">
      <c r="B76" s="36"/>
      <c r="C76" s="82"/>
      <c r="D76" s="47"/>
      <c r="E76" s="47"/>
      <c r="F76" s="47"/>
      <c r="G76" s="49"/>
      <c r="H76" s="83"/>
    </row>
    <row r="77" spans="2:8">
      <c r="B77" s="30">
        <v>9</v>
      </c>
      <c r="C77" s="31" t="s">
        <v>91</v>
      </c>
      <c r="D77" s="53"/>
      <c r="E77" s="53"/>
      <c r="F77" s="53"/>
      <c r="G77" s="54"/>
      <c r="H77" s="25"/>
    </row>
    <row r="78" spans="2:8">
      <c r="B78" s="84" t="s">
        <v>92</v>
      </c>
      <c r="C78" s="31" t="s">
        <v>93</v>
      </c>
      <c r="D78" s="53"/>
      <c r="E78" s="53"/>
      <c r="F78" s="53"/>
      <c r="G78" s="54"/>
      <c r="H78" s="25"/>
    </row>
    <row r="79" spans="2:8">
      <c r="B79" s="30"/>
      <c r="C79" s="58"/>
      <c r="D79" s="53"/>
      <c r="E79" s="53"/>
      <c r="F79" s="53"/>
      <c r="G79" s="54"/>
      <c r="H79" s="25"/>
    </row>
    <row r="80" spans="2:8">
      <c r="B80" s="30"/>
      <c r="C80" s="58" t="s">
        <v>94</v>
      </c>
      <c r="D80" s="53"/>
      <c r="E80" s="53"/>
      <c r="F80" s="53">
        <f>IF(D26=1500,G17*0.05,IF(D26=1750,G17*0.07,IF(D26=2000,G17*0.08,IF(D26=2250,G17*0.1,IF(D26=2500,G17*0.12,IF(D26=3000,G17*0.15,IF(D26=3500,G17*0.17)))))))</f>
        <v>614400</v>
      </c>
      <c r="G80" s="54">
        <f>F80</f>
        <v>614400</v>
      </c>
      <c r="H80" s="80">
        <f>G80/G91</f>
        <v>0.11862835959221502</v>
      </c>
    </row>
    <row r="81" spans="2:9">
      <c r="B81" s="30"/>
      <c r="C81" s="81" t="s">
        <v>95</v>
      </c>
      <c r="D81" s="53"/>
      <c r="E81" s="53"/>
      <c r="F81" s="53"/>
      <c r="G81" s="54"/>
      <c r="H81" s="25"/>
    </row>
    <row r="82" spans="2:9">
      <c r="B82" s="30"/>
      <c r="C82" s="58"/>
      <c r="D82" s="53"/>
      <c r="E82" s="53"/>
      <c r="F82" s="53"/>
      <c r="G82" s="54"/>
      <c r="H82" s="25"/>
    </row>
    <row r="83" spans="2:9">
      <c r="B83" s="30"/>
      <c r="C83" s="58" t="s">
        <v>96</v>
      </c>
      <c r="D83" s="53"/>
      <c r="E83" s="53"/>
      <c r="F83" s="53"/>
      <c r="G83" s="54"/>
      <c r="H83" s="25"/>
    </row>
    <row r="84" spans="2:9">
      <c r="B84" s="30"/>
      <c r="C84" s="58"/>
      <c r="D84" s="53"/>
      <c r="E84" s="53"/>
      <c r="F84" s="53"/>
      <c r="G84" s="54"/>
      <c r="H84" s="25"/>
    </row>
    <row r="85" spans="2:9">
      <c r="B85" s="30"/>
      <c r="C85" s="58" t="s">
        <v>97</v>
      </c>
      <c r="D85" s="53"/>
      <c r="E85" s="53"/>
      <c r="F85" s="53">
        <f>G86*0.75</f>
        <v>883200</v>
      </c>
      <c r="G85" s="54"/>
      <c r="H85" s="25"/>
    </row>
    <row r="86" spans="2:9">
      <c r="B86" s="30"/>
      <c r="C86" s="58" t="s">
        <v>98</v>
      </c>
      <c r="D86" s="53"/>
      <c r="E86" s="53"/>
      <c r="F86" s="53">
        <f>G86*0.25</f>
        <v>294400</v>
      </c>
      <c r="G86" s="53">
        <f>IF(D26=1500,G17*0.1,IF(D26=1750,G17*0.13,IF(D26=2000,G17*0.17,IF(D26=2250,G17*0.2,IF(D26=2500,G17*0.23,IF(D26=3000,G17*0.25,IF(D26=3500,G17*0.28)))))))</f>
        <v>1177600</v>
      </c>
      <c r="H86" s="80">
        <f>G86/G91</f>
        <v>0.22737102255174543</v>
      </c>
    </row>
    <row r="87" spans="2:9">
      <c r="B87" s="36"/>
      <c r="C87" s="85" t="s">
        <v>99</v>
      </c>
      <c r="D87" s="47"/>
      <c r="E87" s="47"/>
      <c r="F87" s="47"/>
      <c r="G87" s="49"/>
      <c r="H87" s="83"/>
    </row>
    <row r="88" spans="2:9">
      <c r="B88" s="42">
        <v>10</v>
      </c>
      <c r="C88" s="43" t="s">
        <v>100</v>
      </c>
      <c r="D88" s="51"/>
      <c r="E88" s="51"/>
      <c r="F88" s="86">
        <v>242500</v>
      </c>
      <c r="G88" s="52"/>
      <c r="H88" s="87"/>
    </row>
    <row r="89" spans="2:9">
      <c r="B89" s="30"/>
      <c r="C89" s="31" t="s">
        <v>101</v>
      </c>
      <c r="D89" s="53"/>
      <c r="E89" s="53"/>
      <c r="F89" s="34"/>
      <c r="G89" s="54"/>
      <c r="H89" s="60"/>
    </row>
    <row r="90" spans="2:9">
      <c r="B90" s="30"/>
      <c r="C90" s="31" t="s">
        <v>102</v>
      </c>
      <c r="D90" s="47"/>
      <c r="E90" s="53"/>
      <c r="F90" s="34"/>
      <c r="G90" s="54">
        <f>SUM(F88:F90)</f>
        <v>242500</v>
      </c>
      <c r="H90" s="88">
        <f>G90/G91</f>
        <v>4.6821902996601793E-2</v>
      </c>
    </row>
    <row r="91" spans="2:9">
      <c r="B91" s="42"/>
      <c r="C91" s="89" t="s">
        <v>103</v>
      </c>
      <c r="D91" s="53"/>
      <c r="E91" s="51"/>
      <c r="F91" s="51">
        <f>SUM(F18:F90)</f>
        <v>5179200</v>
      </c>
      <c r="G91" s="52">
        <f>SUM(G19:G90)</f>
        <v>5179200</v>
      </c>
      <c r="H91" s="59"/>
    </row>
    <row r="92" spans="2:9" ht="15.75" thickBot="1">
      <c r="B92" s="65"/>
      <c r="C92" s="66"/>
      <c r="D92" s="65"/>
      <c r="E92" s="67"/>
      <c r="F92" s="67"/>
      <c r="G92" s="67"/>
      <c r="H92" s="65"/>
    </row>
    <row r="93" spans="2:9" ht="9.75" customHeight="1">
      <c r="B93" s="58"/>
      <c r="C93" s="58"/>
      <c r="D93" s="58"/>
      <c r="E93" s="90"/>
      <c r="F93" s="90"/>
      <c r="G93" s="58"/>
      <c r="H93" s="58"/>
    </row>
    <row r="94" spans="2:9">
      <c r="B94" s="91" t="s">
        <v>104</v>
      </c>
      <c r="C94" s="61" t="s">
        <v>105</v>
      </c>
      <c r="D94" s="19"/>
      <c r="E94" s="19"/>
      <c r="F94" s="19"/>
      <c r="G94" s="19"/>
      <c r="H94" s="19"/>
      <c r="I94" s="1">
        <f>G17-G91</f>
        <v>-59200</v>
      </c>
    </row>
    <row r="95" spans="2:9" ht="11.25" customHeight="1" thickBot="1">
      <c r="B95" s="19"/>
      <c r="C95" s="19"/>
      <c r="D95" s="19"/>
      <c r="E95" s="19"/>
      <c r="F95" s="19"/>
      <c r="G95" s="19"/>
      <c r="H95" s="19"/>
    </row>
    <row r="96" spans="2:9">
      <c r="B96" s="19"/>
      <c r="C96" s="24" t="s">
        <v>106</v>
      </c>
      <c r="D96" s="24" t="s">
        <v>107</v>
      </c>
      <c r="E96" s="92" t="s">
        <v>108</v>
      </c>
      <c r="F96" s="93"/>
      <c r="G96" s="26"/>
      <c r="H96" s="19"/>
    </row>
    <row r="97" spans="1:8" ht="15.75" thickBot="1">
      <c r="B97" s="19"/>
      <c r="C97" s="25"/>
      <c r="D97" s="25" t="s">
        <v>109</v>
      </c>
      <c r="E97" s="94"/>
      <c r="F97" s="95"/>
      <c r="G97" s="25" t="s">
        <v>110</v>
      </c>
      <c r="H97" s="19"/>
    </row>
    <row r="98" spans="1:8">
      <c r="B98" s="19"/>
      <c r="C98" s="30"/>
      <c r="D98" s="30" t="s">
        <v>111</v>
      </c>
      <c r="E98" s="24" t="s">
        <v>112</v>
      </c>
      <c r="F98" s="24" t="s">
        <v>113</v>
      </c>
      <c r="G98" s="96" t="s">
        <v>114</v>
      </c>
      <c r="H98" s="19"/>
    </row>
    <row r="99" spans="1:8" ht="15.75" thickBot="1">
      <c r="B99" s="19"/>
      <c r="C99" s="65"/>
      <c r="D99" s="97" t="s">
        <v>115</v>
      </c>
      <c r="E99" s="98"/>
      <c r="F99" s="98"/>
      <c r="G99" s="99"/>
      <c r="H99" s="19"/>
    </row>
    <row r="100" spans="1:8">
      <c r="A100" s="103"/>
      <c r="B100" s="23"/>
      <c r="C100" s="104"/>
      <c r="D100" s="105">
        <v>1500</v>
      </c>
      <c r="E100" s="106">
        <v>0.05</v>
      </c>
      <c r="F100" s="107">
        <v>0.1</v>
      </c>
      <c r="G100" s="108">
        <f>E100+F100</f>
        <v>0.15000000000000002</v>
      </c>
      <c r="H100" s="23"/>
    </row>
    <row r="101" spans="1:8">
      <c r="A101" s="103"/>
      <c r="B101" s="23"/>
      <c r="C101" s="104"/>
      <c r="D101" s="105">
        <v>1750</v>
      </c>
      <c r="E101" s="109">
        <v>7.0000000000000007E-2</v>
      </c>
      <c r="F101" s="110">
        <v>0.13</v>
      </c>
      <c r="G101" s="111">
        <f>E101+F101</f>
        <v>0.2</v>
      </c>
      <c r="H101" s="23"/>
    </row>
    <row r="102" spans="1:8">
      <c r="B102" s="19"/>
      <c r="C102" s="112"/>
      <c r="D102" s="113">
        <v>2000</v>
      </c>
      <c r="E102" s="114">
        <v>0.08</v>
      </c>
      <c r="F102" s="114">
        <v>0.17</v>
      </c>
      <c r="G102" s="102">
        <f>E102+F102</f>
        <v>0.25</v>
      </c>
      <c r="H102" s="19"/>
    </row>
    <row r="103" spans="1:8">
      <c r="B103" s="19"/>
      <c r="C103" s="42"/>
      <c r="D103" s="115">
        <v>2250</v>
      </c>
      <c r="E103" s="116">
        <v>0.1</v>
      </c>
      <c r="F103" s="116">
        <v>0.2</v>
      </c>
      <c r="G103" s="102">
        <f>E103+F103</f>
        <v>0.30000000000000004</v>
      </c>
      <c r="H103" s="19"/>
    </row>
    <row r="104" spans="1:8">
      <c r="B104" s="19"/>
      <c r="C104" s="104" t="s">
        <v>116</v>
      </c>
      <c r="D104" s="115">
        <v>2500</v>
      </c>
      <c r="E104" s="116">
        <v>0.12</v>
      </c>
      <c r="F104" s="116">
        <v>0.23</v>
      </c>
      <c r="G104" s="117">
        <f>E104+F104</f>
        <v>0.35</v>
      </c>
      <c r="H104" s="19"/>
    </row>
    <row r="105" spans="1:8">
      <c r="B105" s="19"/>
      <c r="C105" s="101"/>
      <c r="D105" s="105">
        <v>3000</v>
      </c>
      <c r="E105" s="107">
        <v>0.15</v>
      </c>
      <c r="F105" s="107">
        <v>0.25</v>
      </c>
      <c r="G105" s="118">
        <v>0.4</v>
      </c>
      <c r="H105" s="19"/>
    </row>
    <row r="106" spans="1:8" ht="15.75" thickBot="1">
      <c r="B106" s="19"/>
      <c r="C106" s="119"/>
      <c r="D106" s="120" t="s">
        <v>117</v>
      </c>
      <c r="E106" s="121">
        <v>0.17</v>
      </c>
      <c r="F106" s="121">
        <v>0.28000000000000003</v>
      </c>
      <c r="G106" s="122">
        <f>SUM(E106:F106)</f>
        <v>0.45000000000000007</v>
      </c>
      <c r="H106" s="19"/>
    </row>
    <row r="107" spans="1:8">
      <c r="B107" s="91"/>
      <c r="C107" s="91"/>
      <c r="D107" s="19"/>
      <c r="E107" s="19"/>
      <c r="F107" s="19"/>
      <c r="G107" s="19"/>
      <c r="H107" s="19"/>
    </row>
    <row r="108" spans="1:8">
      <c r="B108" s="91"/>
      <c r="C108" s="91"/>
      <c r="D108" s="19"/>
      <c r="E108" s="19"/>
      <c r="F108" s="19"/>
      <c r="G108" s="19"/>
      <c r="H108" s="19"/>
    </row>
    <row r="109" spans="1:8">
      <c r="B109" s="91" t="s">
        <v>118</v>
      </c>
      <c r="C109" s="91" t="s">
        <v>119</v>
      </c>
      <c r="D109" s="19"/>
      <c r="E109" s="19"/>
      <c r="F109" s="19"/>
      <c r="G109" s="19"/>
      <c r="H109" s="19"/>
    </row>
    <row r="110" spans="1:8">
      <c r="B110" s="91" t="s">
        <v>120</v>
      </c>
      <c r="C110" s="91" t="s">
        <v>121</v>
      </c>
      <c r="D110" s="19"/>
      <c r="E110" s="19"/>
      <c r="F110" s="19"/>
      <c r="G110" s="19"/>
      <c r="H110" s="19"/>
    </row>
    <row r="111" spans="1:8">
      <c r="B111" s="91"/>
      <c r="C111" s="91"/>
      <c r="D111" s="19"/>
      <c r="E111" s="19"/>
      <c r="F111" s="19"/>
      <c r="G111" s="19"/>
      <c r="H111" s="19"/>
    </row>
    <row r="112" spans="1:8">
      <c r="B112" s="91"/>
      <c r="C112" s="91"/>
      <c r="D112" s="19"/>
      <c r="E112" s="19"/>
      <c r="F112" s="19"/>
      <c r="G112" s="19"/>
      <c r="H112" s="19"/>
    </row>
    <row r="113" spans="2:8">
      <c r="B113" s="19"/>
      <c r="C113" s="19" t="s">
        <v>122</v>
      </c>
      <c r="D113" s="19"/>
      <c r="E113" s="19"/>
      <c r="F113" s="19" t="s">
        <v>123</v>
      </c>
      <c r="G113" s="100"/>
      <c r="H113" s="19"/>
    </row>
    <row r="114" spans="2:8">
      <c r="B114" s="19"/>
      <c r="C114" s="123"/>
      <c r="D114" s="19"/>
      <c r="E114" s="19"/>
      <c r="F114" s="123"/>
      <c r="G114" s="100"/>
      <c r="H114" s="19"/>
    </row>
    <row r="115" spans="2:8">
      <c r="B115" s="19"/>
      <c r="C115" s="124" t="s">
        <v>124</v>
      </c>
      <c r="D115" s="19"/>
      <c r="E115" s="19"/>
      <c r="F115" s="91" t="s">
        <v>125</v>
      </c>
      <c r="G115" s="100"/>
      <c r="H115" s="19"/>
    </row>
    <row r="116" spans="2:8">
      <c r="B116" s="19"/>
      <c r="C116" s="124" t="s">
        <v>126</v>
      </c>
      <c r="D116" s="19"/>
      <c r="E116" s="19"/>
      <c r="F116" s="19"/>
      <c r="G116" s="100"/>
      <c r="H116" s="19"/>
    </row>
    <row r="117" spans="2:8">
      <c r="B117" s="19"/>
      <c r="C117" s="124"/>
      <c r="D117" s="19"/>
      <c r="E117" s="19"/>
      <c r="F117" s="19"/>
      <c r="G117" s="100"/>
      <c r="H117" s="19"/>
    </row>
    <row r="118" spans="2:8">
      <c r="B118" s="19"/>
      <c r="C118" s="124"/>
      <c r="D118" s="19"/>
      <c r="E118" s="19"/>
      <c r="F118" s="19"/>
      <c r="G118" s="100"/>
      <c r="H118" s="19"/>
    </row>
    <row r="119" spans="2:8">
      <c r="B119" s="19"/>
      <c r="C119" s="19"/>
      <c r="D119" s="19"/>
      <c r="E119" s="19"/>
      <c r="F119" s="19"/>
      <c r="G119" s="100"/>
      <c r="H119" s="19"/>
    </row>
    <row r="120" spans="2:8">
      <c r="B120" s="19"/>
      <c r="C120" s="19" t="s">
        <v>127</v>
      </c>
      <c r="D120" s="19"/>
      <c r="E120" s="19"/>
      <c r="F120" s="19"/>
      <c r="G120" s="100"/>
      <c r="H120" s="19"/>
    </row>
    <row r="121" spans="2:8">
      <c r="B121" s="19"/>
      <c r="C121" s="124" t="s">
        <v>137</v>
      </c>
      <c r="D121" s="19"/>
      <c r="E121" s="19"/>
      <c r="F121" s="19"/>
      <c r="G121" s="100"/>
      <c r="H121" s="19"/>
    </row>
    <row r="122" spans="2:8">
      <c r="B122" s="19"/>
      <c r="C122" s="124" t="s">
        <v>128</v>
      </c>
      <c r="D122" s="19"/>
      <c r="E122" s="19"/>
      <c r="F122" s="19"/>
      <c r="G122" s="100"/>
      <c r="H122" s="19"/>
    </row>
    <row r="123" spans="2:8">
      <c r="B123" s="19"/>
      <c r="C123" s="100"/>
      <c r="D123" s="100"/>
      <c r="E123" s="100"/>
      <c r="F123" s="100"/>
      <c r="G123" s="100"/>
      <c r="H123" s="19"/>
    </row>
    <row r="125" spans="2:8" ht="18.75">
      <c r="C125" s="140" t="s">
        <v>141</v>
      </c>
      <c r="D125" s="141"/>
      <c r="E125" s="141"/>
      <c r="F125" s="141"/>
      <c r="G125" s="141"/>
    </row>
    <row r="126" spans="2:8">
      <c r="C126" s="142" t="s">
        <v>144</v>
      </c>
    </row>
  </sheetData>
  <pageMargins left="0.45" right="0.45" top="0.75" bottom="0.75" header="0.3" footer="0.3"/>
  <pageSetup scale="8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Format</vt:lpstr>
      <vt:lpstr>Normal MSC FOR FILLING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2019-11-19T04:03:45Z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c94ee20c-8108-4384-9af1-9562445a81c8</vt:lpwstr>
  </property>
</Properties>
</file>